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ostategov-my.sharepoint.com/personal/mzleona_cds_state_mo_us/Documents/"/>
    </mc:Choice>
  </mc:AlternateContent>
  <xr:revisionPtr revIDLastSave="0" documentId="8_{8D898FF6-1723-4D29-A353-54DBB5D9274D}" xr6:coauthVersionLast="47" xr6:coauthVersionMax="47" xr10:uidLastSave="{00000000-0000-0000-0000-000000000000}"/>
  <workbookProtection workbookAlgorithmName="SHA-512" workbookHashValue="usr8jQHGZ8jzwVBhpVbFJ9PDQ5HI/ugelC+T1l2Y2klqEew5Rj/P9zwb9rBFg7eKbcY/atRdmSHlN7/4W32g+Q==" workbookSaltValue="Kj/+ssvtRJGtnkLHnc646w==" workbookSpinCount="100000" lockStructure="1"/>
  <bookViews>
    <workbookView xWindow="-22965" yWindow="0" windowWidth="19845" windowHeight="16305" xr2:uid="{00000000-000D-0000-FFFF-FFFF00000000}"/>
  </bookViews>
  <sheets>
    <sheet name="Instructions" sheetId="16" r:id="rId1"/>
    <sheet name=" Single Adult" sheetId="12" r:id="rId2"/>
    <sheet name="Couple, both disabled" sheetId="15" r:id="rId3"/>
    <sheet name="Couple, 1 with disability" sheetId="13" r:id="rId4"/>
    <sheet name="Disabled Child &lt; 18 " sheetId="7" r:id="rId5"/>
    <sheet name=" Blind Single" sheetId="9" r:id="rId6"/>
    <sheet name="Couple, 1 blind" sheetId="10" r:id="rId7"/>
  </sheets>
  <definedNames>
    <definedName name="_xlnm.Print_Area" localSheetId="2">'Couple, both disabled'!$A$1:$E$82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2" i="9" l="1"/>
  <c r="E33" i="7"/>
  <c r="B43" i="10"/>
  <c r="B43" i="13"/>
  <c r="B47" i="15" l="1"/>
  <c r="E26" i="12"/>
  <c r="E31" i="12"/>
  <c r="E17" i="13"/>
  <c r="E19" i="15"/>
  <c r="E71" i="15" s="1"/>
  <c r="E30" i="13"/>
  <c r="E33" i="13"/>
  <c r="E35" i="13"/>
  <c r="E32" i="13"/>
  <c r="E34" i="13"/>
  <c r="E36" i="13"/>
  <c r="E29" i="12"/>
  <c r="E27" i="12"/>
  <c r="E35" i="10"/>
  <c r="E30" i="10"/>
  <c r="E32" i="10"/>
  <c r="E33" i="10"/>
  <c r="E34" i="10"/>
  <c r="E36" i="10"/>
  <c r="E26" i="9"/>
  <c r="E28" i="9"/>
  <c r="E30" i="9"/>
  <c r="E27" i="9"/>
  <c r="E31" i="9"/>
  <c r="E31" i="15"/>
  <c r="E33" i="15"/>
  <c r="E34" i="15"/>
  <c r="E37" i="15"/>
  <c r="E32" i="15"/>
  <c r="E35" i="15"/>
  <c r="E38" i="15"/>
  <c r="E36" i="15"/>
  <c r="D17" i="7"/>
  <c r="D25" i="7" s="1"/>
  <c r="D16" i="7"/>
  <c r="D24" i="7" s="1"/>
  <c r="D15" i="7"/>
  <c r="D23" i="7" s="1"/>
  <c r="D14" i="7"/>
  <c r="D22" i="7" s="1"/>
  <c r="D13" i="7"/>
  <c r="D21" i="7" s="1"/>
  <c r="E73" i="15"/>
  <c r="E67" i="15"/>
  <c r="E72" i="15"/>
  <c r="E31" i="10"/>
  <c r="E64" i="13"/>
  <c r="E63" i="13"/>
  <c r="E62" i="13"/>
  <c r="E61" i="13"/>
  <c r="E57" i="13"/>
  <c r="E56" i="13"/>
  <c r="E55" i="13"/>
  <c r="E31" i="13"/>
  <c r="E20" i="13"/>
  <c r="E19" i="13"/>
  <c r="E56" i="12"/>
  <c r="E36" i="7"/>
  <c r="E17" i="10"/>
  <c r="E19" i="10"/>
  <c r="E20" i="10"/>
  <c r="E16" i="9"/>
  <c r="E17" i="9" s="1"/>
  <c r="E55" i="10"/>
  <c r="E56" i="10"/>
  <c r="E57" i="10"/>
  <c r="E61" i="10"/>
  <c r="E62" i="10"/>
  <c r="E63" i="10"/>
  <c r="E64" i="10"/>
  <c r="E29" i="9"/>
  <c r="B41" i="9"/>
  <c r="E49" i="9"/>
  <c r="E50" i="9"/>
  <c r="E54" i="9"/>
  <c r="E55" i="9"/>
  <c r="E56" i="9"/>
  <c r="E39" i="7"/>
  <c r="E65" i="10"/>
  <c r="E52" i="10"/>
  <c r="E39" i="15" l="1"/>
  <c r="E37" i="13"/>
  <c r="E38" i="13"/>
  <c r="E39" i="13" s="1"/>
  <c r="E49" i="13" s="1"/>
  <c r="E20" i="15"/>
  <c r="E21" i="15" s="1"/>
  <c r="E22" i="15" s="1"/>
  <c r="E68" i="15" s="1"/>
  <c r="E69" i="15" s="1"/>
  <c r="E66" i="15"/>
  <c r="E53" i="15"/>
  <c r="E18" i="13"/>
  <c r="E21" i="13" s="1"/>
  <c r="E22" i="13" s="1"/>
  <c r="E18" i="10"/>
  <c r="E21" i="10" s="1"/>
  <c r="E22" i="10" s="1"/>
  <c r="E48" i="10"/>
  <c r="E48" i="13"/>
  <c r="E41" i="15"/>
  <c r="E42" i="15" s="1"/>
  <c r="E54" i="15" s="1"/>
  <c r="E16" i="12"/>
  <c r="E17" i="12" s="1"/>
  <c r="E28" i="12"/>
  <c r="E32" i="12" s="1"/>
  <c r="E49" i="12"/>
  <c r="E54" i="12"/>
  <c r="E37" i="10"/>
  <c r="E38" i="10" s="1"/>
  <c r="E39" i="10" s="1"/>
  <c r="E49" i="10" s="1"/>
  <c r="E55" i="12"/>
  <c r="E30" i="12"/>
  <c r="E50" i="12"/>
  <c r="E20" i="7"/>
  <c r="E42" i="9"/>
  <c r="E33" i="9"/>
  <c r="E34" i="9" s="1"/>
  <c r="E43" i="9" s="1"/>
  <c r="E18" i="9"/>
  <c r="E20" i="9" s="1"/>
  <c r="E23" i="10" l="1"/>
  <c r="E58" i="10" s="1"/>
  <c r="E59" i="10" s="1"/>
  <c r="E57" i="15"/>
  <c r="E23" i="13"/>
  <c r="E52" i="13" s="1"/>
  <c r="E66" i="13" s="1"/>
  <c r="E43" i="15"/>
  <c r="E74" i="15"/>
  <c r="E44" i="15"/>
  <c r="E42" i="12"/>
  <c r="E27" i="7"/>
  <c r="E28" i="7"/>
  <c r="E29" i="7" s="1"/>
  <c r="E30" i="7" s="1"/>
  <c r="E31" i="7" s="1"/>
  <c r="E32" i="7" s="1"/>
  <c r="E34" i="7" s="1"/>
  <c r="E37" i="7" s="1"/>
  <c r="E40" i="7" s="1"/>
  <c r="E42" i="7" s="1"/>
  <c r="E65" i="13"/>
  <c r="E18" i="12"/>
  <c r="E20" i="12" s="1"/>
  <c r="E51" i="12" s="1"/>
  <c r="E52" i="12" s="1"/>
  <c r="E66" i="10"/>
  <c r="E67" i="10" s="1"/>
  <c r="E57" i="9"/>
  <c r="E46" i="9"/>
  <c r="E58" i="9" s="1"/>
  <c r="E51" i="9"/>
  <c r="E52" i="9" s="1"/>
  <c r="E59" i="9" l="1"/>
  <c r="E60" i="9" s="1"/>
  <c r="E68" i="10"/>
  <c r="E58" i="13"/>
  <c r="E59" i="13" s="1"/>
  <c r="E75" i="15"/>
  <c r="E76" i="15" s="1"/>
  <c r="E77" i="15" s="1"/>
  <c r="E33" i="12"/>
  <c r="E34" i="12" s="1"/>
  <c r="E43" i="12" s="1"/>
  <c r="E57" i="12" s="1"/>
  <c r="E46" i="12"/>
  <c r="E67" i="13"/>
  <c r="E68" i="13" s="1"/>
  <c r="E58" i="12" l="1"/>
  <c r="E59" i="12" s="1"/>
  <c r="E60" i="12" s="1"/>
</calcChain>
</file>

<file path=xl/sharedStrings.xml><?xml version="1.0" encoding="utf-8"?>
<sst xmlns="http://schemas.openxmlformats.org/spreadsheetml/2006/main" count="553" uniqueCount="197">
  <si>
    <t>Date</t>
  </si>
  <si>
    <t>Client Name</t>
  </si>
  <si>
    <t>Benefits Specialist Name</t>
  </si>
  <si>
    <t>Enter your values in the cells tinted purple. Blue tinted cells will calculate automatically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</si>
  <si>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</si>
  <si>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</si>
  <si>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</si>
  <si>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</si>
  <si>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</si>
  <si>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</si>
  <si>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</si>
  <si>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</si>
  <si>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</si>
  <si>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</si>
  <si>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</si>
  <si>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r>
      <t xml:space="preserve">Amount of unearned income each month </t>
    </r>
    <r>
      <rPr>
        <sz val="9"/>
        <color theme="1"/>
        <rFont val="Arial"/>
        <family val="2"/>
      </rPr>
      <t>(NOT including any SSDI or SSI)</t>
    </r>
  </si>
  <si>
    <t>Amount of dental and/or optical insurance premium each month</t>
  </si>
  <si>
    <t>TWHA SSDI Standard Deduction</t>
  </si>
  <si>
    <t>12)</t>
  </si>
  <si>
    <t>13)</t>
  </si>
  <si>
    <t>14)</t>
  </si>
  <si>
    <r>
      <t xml:space="preserve">TWHA deduction for dental/optical insurance </t>
    </r>
    <r>
      <rPr>
        <sz val="9"/>
        <color theme="1"/>
        <rFont val="Arial"/>
        <family val="2"/>
      </rPr>
      <t>(not less than $75)</t>
    </r>
  </si>
  <si>
    <r>
      <t xml:space="preserve">TWHA deduction for Impairment-Related Work Expenses </t>
    </r>
    <r>
      <rPr>
        <sz val="9"/>
        <color theme="1"/>
        <rFont val="Arial"/>
        <family val="2"/>
      </rPr>
      <t>(half of wages)</t>
    </r>
  </si>
  <si>
    <t>15)</t>
  </si>
  <si>
    <t>16)</t>
  </si>
  <si>
    <t>17)</t>
  </si>
  <si>
    <t>18)</t>
  </si>
  <si>
    <t>Step 4 -TWHA Premium Calculation, If Working</t>
  </si>
  <si>
    <t>Premium of</t>
  </si>
  <si>
    <t>Premium</t>
  </si>
  <si>
    <t xml:space="preserve">NOTE: This sheet provides only an estimate. This is not an official FSD determination. </t>
  </si>
  <si>
    <t>SSDI plus other unearned income (lines 1 &amp; 2)</t>
  </si>
  <si>
    <t>Step 1 - Unearned Income Amounts</t>
  </si>
  <si>
    <t>Personal Income Exemption</t>
  </si>
  <si>
    <t>Step 2 - Spend Down Calculation if Not Working</t>
  </si>
  <si>
    <t>Step 3 - Earned Income Amounts</t>
  </si>
  <si>
    <t>Spend Down Amount, not working</t>
  </si>
  <si>
    <t>Step 5 - Spend Down Calculation if NOT Eligible for TWHA</t>
  </si>
  <si>
    <t>Amount of monthly SSDI benefits</t>
  </si>
  <si>
    <t>Client Names</t>
  </si>
  <si>
    <t>Monthly unearned income (OTHER THAN SSDI or SSI) of both spouses</t>
  </si>
  <si>
    <t>Total SSDI and other unearned income (lines 1a,1b, &amp; 2)</t>
  </si>
  <si>
    <t>Spouse 1 TWHA Eligibility</t>
  </si>
  <si>
    <t>Spouse 2 TWHA Eligibility</t>
  </si>
  <si>
    <t>Amount of monthly SSDI benefits of person with a disability</t>
  </si>
  <si>
    <t>Monthly earned income of spouse with no disability</t>
  </si>
  <si>
    <t>Countable Earned Income of spouse with no disability</t>
  </si>
  <si>
    <t>19)</t>
  </si>
  <si>
    <t>20)</t>
  </si>
  <si>
    <t>3a - Monthly dental/optical insurance premium for spouse #1</t>
  </si>
  <si>
    <t>3b - Monthly dental/optical insurance premium for spouse #2</t>
  </si>
  <si>
    <t>1a - Amount each month in SSDI benefits, Spouse 1</t>
  </si>
  <si>
    <t>1b - Amount each month in SSDI benefits, Spouse 2</t>
  </si>
  <si>
    <t>12a - TWHA SSDI Standard Deduction for Spouse 1</t>
  </si>
  <si>
    <r>
      <t xml:space="preserve">13a - TWHA deduction for dental/optical insurance, Spouse 1 </t>
    </r>
    <r>
      <rPr>
        <sz val="9"/>
        <color theme="1"/>
        <rFont val="Arial"/>
        <family val="2"/>
      </rPr>
      <t>(not less than $75)</t>
    </r>
  </si>
  <si>
    <t>12b - TWHA SSDI Standard Deduction for Spouse 2</t>
  </si>
  <si>
    <r>
      <t xml:space="preserve">13b - TWHA deduction for dental/optical insurance, Spouse 2 </t>
    </r>
    <r>
      <rPr>
        <sz val="9"/>
        <color theme="1"/>
        <rFont val="Arial"/>
        <family val="2"/>
      </rPr>
      <t>(not less than $75)</t>
    </r>
  </si>
  <si>
    <t>End Result</t>
  </si>
  <si>
    <t>SSDI Benefits &amp; Unearned</t>
  </si>
  <si>
    <t>TWHA Premium (if any)</t>
  </si>
  <si>
    <t>Current Available Income</t>
  </si>
  <si>
    <t>Insurance Premiums</t>
  </si>
  <si>
    <t>Current Monthly Spend Down</t>
  </si>
  <si>
    <t>Current Available Monthly Income</t>
  </si>
  <si>
    <t>Earned Income</t>
  </si>
  <si>
    <t>Available Monthly Income if working</t>
  </si>
  <si>
    <t>Spend Down with earned income (if any)</t>
  </si>
  <si>
    <t xml:space="preserve"> </t>
  </si>
  <si>
    <t>Potential Available Income (if working)</t>
  </si>
  <si>
    <t>SSDI Benefits &amp; Unearned Income</t>
  </si>
  <si>
    <t>Increase in Available Monthly Income</t>
  </si>
  <si>
    <t>Potential Available Income</t>
  </si>
  <si>
    <t>Spouse's Earned Income</t>
  </si>
  <si>
    <t>21)</t>
  </si>
  <si>
    <r>
      <t>Countable Income, if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6 &amp; 7 minus lines 4, 5 &amp; 8 )</t>
    </r>
  </si>
  <si>
    <t>7) b  - Earned income exemption ($65 plus half of amount &gt; $65)</t>
  </si>
  <si>
    <t>7) a  - Earned income of spouse with no disability (line 3)</t>
  </si>
  <si>
    <t>Countable Earned Income of spouse with no disability (7a minus 7b)</t>
  </si>
  <si>
    <r>
      <t>Countable Income,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3,4, &amp; 6 )</t>
    </r>
  </si>
  <si>
    <r>
      <t>Countable Income, if BOTH not working</t>
    </r>
    <r>
      <rPr>
        <b/>
        <sz val="9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(line 5 minus lines 3a, 3b, 4, &amp; 6 )</t>
    </r>
  </si>
  <si>
    <t>Amount of monthly Medicare (SMI) or other health insurance premiums (besides dental/optical)</t>
  </si>
  <si>
    <r>
      <t>Other health insurance premiums</t>
    </r>
    <r>
      <rPr>
        <sz val="10"/>
        <color theme="1"/>
        <rFont val="Arial"/>
        <family val="2"/>
      </rPr>
      <t xml:space="preserve"> (line 4)</t>
    </r>
  </si>
  <si>
    <t>Amount of monthly Medicare (SMI) or other health insurance premiums (besides dental/optical) for both spouses</t>
  </si>
  <si>
    <t>Monthly dental and/or optical insurance premium of person with a disability</t>
  </si>
  <si>
    <t>Amount of monthly Medicare (SMI) or other health insurance premiums (besides dental/optical) of both spouses</t>
  </si>
  <si>
    <t>or less</t>
  </si>
  <si>
    <t xml:space="preserve">1) </t>
  </si>
  <si>
    <t>(SSI recipients who become employed should remain eligible for non-Spend Down Medicaid in the the 1619(a) or (b) category)</t>
  </si>
  <si>
    <r>
      <t xml:space="preserve">Spend Down Amount </t>
    </r>
    <r>
      <rPr>
        <sz val="11"/>
        <color theme="1"/>
        <rFont val="Arial"/>
        <family val="2"/>
      </rPr>
      <t>(</t>
    </r>
    <r>
      <rPr>
        <sz val="9"/>
        <color theme="1"/>
        <rFont val="Arial Narrow"/>
        <family val="2"/>
      </rPr>
      <t>if a negative number, amount is zero</t>
    </r>
    <r>
      <rPr>
        <sz val="11"/>
        <color theme="1"/>
        <rFont val="Arial"/>
        <family val="2"/>
      </rPr>
      <t>)</t>
    </r>
  </si>
  <si>
    <t>Disabled Child's Name</t>
  </si>
  <si>
    <t>number of parents (natural or adoptive) in the home</t>
  </si>
  <si>
    <t>2a)</t>
  </si>
  <si>
    <t>total number of children under age 18 in the home</t>
  </si>
  <si>
    <t>2b)</t>
  </si>
  <si>
    <t>how many of the above children are disabled?</t>
  </si>
  <si>
    <t>6a)</t>
  </si>
  <si>
    <t>6b)</t>
  </si>
  <si>
    <t>6c)</t>
  </si>
  <si>
    <t>6d)</t>
  </si>
  <si>
    <t>Step 2 - Deemed Income</t>
  </si>
  <si>
    <t>Total allocation for non-disabled children</t>
  </si>
  <si>
    <t>8a) allocation for non-disabled child 1</t>
  </si>
  <si>
    <t>8b) allocation for non-disabled child 2</t>
  </si>
  <si>
    <t>8c) allocation for non-disabled child 3</t>
  </si>
  <si>
    <t>8d) allocation for non-disabled child 4</t>
  </si>
  <si>
    <t>parents' unearned income for deeming</t>
  </si>
  <si>
    <t xml:space="preserve">Allocation from earned income for non-disabled children </t>
  </si>
  <si>
    <t>Personal income exemption from earned income</t>
  </si>
  <si>
    <t>Earned income exemption ($65 plus half of amount &gt; $65)</t>
  </si>
  <si>
    <t>parents' earned income for deeming</t>
  </si>
  <si>
    <t>total countable parent income for deeming</t>
  </si>
  <si>
    <t>Parental Living Allowance</t>
  </si>
  <si>
    <t>total deemed parental income</t>
  </si>
  <si>
    <t>disabled child's unearned</t>
  </si>
  <si>
    <t>deemed parental income for each disabled child</t>
  </si>
  <si>
    <t>Health Insurance premium</t>
  </si>
  <si>
    <t>22)</t>
  </si>
  <si>
    <t>Countable Income</t>
  </si>
  <si>
    <t>23)</t>
  </si>
  <si>
    <t>Non-Spend Down income limit</t>
  </si>
  <si>
    <t>24)</t>
  </si>
  <si>
    <t>Do not enter SSI Benefits as those are excluded</t>
  </si>
  <si>
    <t>MO HealthNet for Disabled Child Spend Down Calculation</t>
  </si>
  <si>
    <t xml:space="preserve">                                     Calulation for Married Couples, only one disabled</t>
  </si>
  <si>
    <t xml:space="preserve">    Calculation for Single Adults</t>
  </si>
  <si>
    <t xml:space="preserve">      Calculation for Married Couples, both disabled</t>
  </si>
  <si>
    <t>For couples who are working but are not eligible for TWHA (or prefer Spend Down), the Spend Down will increase $1 for every $2 of non-sheltered workshop earned income above $65.</t>
  </si>
  <si>
    <t>For individuals who are working but are not eligible for TWHA (or prefer Spend Down), the Spend Down will increase $1 for every $2 of non-sheltered workshop earned income above $65.</t>
  </si>
  <si>
    <t>Amount of monthly Social Security benefits</t>
  </si>
  <si>
    <t xml:space="preserve">    Calculation for Blind Single Adults</t>
  </si>
  <si>
    <t>Monthly unearned income (OTHER THAN SS, SSI, or BP) of both spouses</t>
  </si>
  <si>
    <t>Amount of monthly Social Security benefits of blind spouse</t>
  </si>
  <si>
    <t xml:space="preserve">                                     Calulation for Married Couples, only one blind</t>
  </si>
  <si>
    <t>Step 1 -Enter Monthly Income and Health Insurance Amounts</t>
  </si>
  <si>
    <t>Step 3 - Spend Down Budget</t>
  </si>
  <si>
    <t>Spend Down (monthly)</t>
  </si>
  <si>
    <t xml:space="preserve">parents monthly unearned income (other than SSI) </t>
  </si>
  <si>
    <t>parents monthly earned income</t>
  </si>
  <si>
    <t>disabled child's monthly income (other than SSI)</t>
  </si>
  <si>
    <t>monthly income of non-disabled child</t>
  </si>
  <si>
    <r>
      <t>Amount you earn monthly from any other job</t>
    </r>
    <r>
      <rPr>
        <sz val="9"/>
        <color theme="1"/>
        <rFont val="Arial"/>
        <family val="2"/>
      </rPr>
      <t xml:space="preserve"> (non-sheltered workshop)</t>
    </r>
  </si>
  <si>
    <t>Amount you earn monthly from a sheltered workshop</t>
  </si>
  <si>
    <r>
      <t>9a - Amount Spouse 1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</si>
  <si>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9b - Amount Spouse 2 earns monthly from any other job</t>
    </r>
    <r>
      <rPr>
        <sz val="9"/>
        <color theme="1"/>
        <rFont val="Arial"/>
        <family val="2"/>
      </rPr>
      <t xml:space="preserve"> (non-sheltered workshop)</t>
    </r>
  </si>
  <si>
    <t>8a - Amount Spouse 1 earns monthly from a sheltered workshop</t>
  </si>
  <si>
    <t>8b - Amount Spouse 2 earns monthly from a sheltered workshop</t>
  </si>
  <si>
    <t>Amount person with disability earns monthly from a sheltered workshop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</si>
  <si>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(non-sheltered workshop)</t>
    </r>
  </si>
  <si>
    <r>
      <t>Amount of unearned income each month (</t>
    </r>
    <r>
      <rPr>
        <sz val="9"/>
        <color theme="1"/>
        <rFont val="Arial"/>
        <family val="2"/>
      </rPr>
      <t>NOT including any SSDI, SSI, or BP</t>
    </r>
    <r>
      <rPr>
        <sz val="11"/>
        <color theme="1"/>
        <rFont val="Arial"/>
        <family val="2"/>
      </rPr>
      <t>)</t>
    </r>
  </si>
  <si>
    <t>8d) allocation for non-disabled child 5</t>
  </si>
  <si>
    <t>total monthly cost for health insurance that covers the disabled child</t>
  </si>
  <si>
    <t xml:space="preserve">              (Amount by which Countable Income exceeds the non-spend down Income limit of 85% FPL)</t>
  </si>
  <si>
    <r>
      <t xml:space="preserve">TWHA Countable Income </t>
    </r>
    <r>
      <rPr>
        <sz val="9"/>
        <color theme="1"/>
        <rFont val="Arial"/>
        <family val="2"/>
      </rPr>
      <t>(lines 1,2, &amp; 24 - excludes SSI &amp; sheltered workshop)</t>
    </r>
  </si>
  <si>
    <r>
      <t>TWHA income</t>
    </r>
    <r>
      <rPr>
        <b/>
        <sz val="9"/>
        <color theme="1"/>
        <rFont val="Arial"/>
        <family val="2"/>
      </rPr>
      <t xml:space="preserve"> (line 10 minus lines 11-16)</t>
    </r>
  </si>
  <si>
    <t>TWHA Income Eligibility</t>
  </si>
  <si>
    <t>TWHA income limit</t>
  </si>
  <si>
    <r>
      <t xml:space="preserve">Countable Income except spouse's earned income </t>
    </r>
    <r>
      <rPr>
        <sz val="8"/>
        <color theme="1"/>
        <rFont val="Arial"/>
        <family val="2"/>
      </rPr>
      <t>(lines 1, 2, &amp; 24)</t>
    </r>
  </si>
  <si>
    <t>TWHA income limit 250% FPL</t>
  </si>
  <si>
    <t>Step 4 - TWHA Eligibility If Working effective 1/1/24</t>
  </si>
  <si>
    <r>
      <t>Amount person with disability earns monthly from any other job</t>
    </r>
    <r>
      <rPr>
        <sz val="9"/>
        <color theme="1"/>
        <rFont val="Arial"/>
        <family val="2"/>
      </rPr>
      <t xml:space="preserve"> (</t>
    </r>
    <r>
      <rPr>
        <sz val="8"/>
        <color theme="1"/>
        <rFont val="Arial"/>
        <family val="2"/>
      </rPr>
      <t>non-sheltered workshop)</t>
    </r>
  </si>
  <si>
    <t xml:space="preserve">Do not enter SSI Benefits as those are excluded </t>
  </si>
  <si>
    <t xml:space="preserve">Do not enter Blind Pension grant or SSI Benefits as those are excluded </t>
  </si>
  <si>
    <t xml:space="preserve">             Do not enter SSI Benefits as those are excluded</t>
  </si>
  <si>
    <t xml:space="preserve">             Do not enter Blind Pension grant SSI Benefits as those are excluded</t>
  </si>
  <si>
    <r>
      <t>TWHA income</t>
    </r>
    <r>
      <rPr>
        <b/>
        <sz val="9"/>
        <color theme="1"/>
        <rFont val="Arial"/>
        <family val="2"/>
      </rPr>
      <t xml:space="preserve"> (line 12 plus line13 minus lines 14-19)</t>
    </r>
  </si>
  <si>
    <t xml:space="preserve">Please email DMH.MedicaidEligibility@dmh.mo.gov if you have any problems with this calculator. </t>
  </si>
  <si>
    <t xml:space="preserve">Note: This sheet provides only an estimate. This is not an official FSD determination. </t>
  </si>
  <si>
    <t xml:space="preserve">Enter your values in the purple tinted cells. The blue tinted cells will calculate automatically. </t>
  </si>
  <si>
    <t>Couple, one blind</t>
  </si>
  <si>
    <t>Single blind adult</t>
  </si>
  <si>
    <t>Disabled child under 18</t>
  </si>
  <si>
    <t>Couple, one with disability</t>
  </si>
  <si>
    <t>Couple, both disabled</t>
  </si>
  <si>
    <t>Single disabled adult</t>
  </si>
  <si>
    <t>Please select the calculator that best fits the DMH consumer's situation.</t>
  </si>
  <si>
    <t>Step 5 -TWHA Premium Calculation, If Working</t>
  </si>
  <si>
    <r>
      <t xml:space="preserve">Current Calculated Income, if working, after standard disregards           </t>
    </r>
    <r>
      <rPr>
        <sz val="10"/>
        <color theme="1"/>
        <rFont val="Arial"/>
        <family val="2"/>
      </rPr>
      <t xml:space="preserve"> (line 10 minus lines 11-15)</t>
    </r>
  </si>
  <si>
    <t>Limit 250% FPL</t>
  </si>
  <si>
    <r>
      <t xml:space="preserve">Excluded earned Income                      </t>
    </r>
    <r>
      <rPr>
        <sz val="9"/>
        <color theme="1"/>
        <rFont val="Arial"/>
        <family val="2"/>
      </rPr>
      <t>between 250 &amp; 300% FPL</t>
    </r>
  </si>
  <si>
    <r>
      <t xml:space="preserve">Current Calculated Income, if working, after standard disregards                           </t>
    </r>
    <r>
      <rPr>
        <sz val="10"/>
        <color theme="1"/>
        <rFont val="Arial"/>
        <family val="2"/>
      </rPr>
      <t xml:space="preserve"> (line 10 minus lines 11-15)</t>
    </r>
  </si>
  <si>
    <r>
      <t>For individuals who are eligible for TWHA, the monthly premium will depend on which of the following ranges match their TWHA Income.</t>
    </r>
    <r>
      <rPr>
        <b/>
        <sz val="10"/>
        <rFont val="Arial"/>
        <family val="2"/>
      </rPr>
      <t xml:space="preserve"> NOTE: If the participant has excluded earned income 250-300% FPL (line 16) Top Premium applied.</t>
    </r>
  </si>
  <si>
    <r>
      <t xml:space="preserve">For individuals who are eligible for TWHA, the monthly premium will depend on which of the following ranges match their TWHA income.  </t>
    </r>
    <r>
      <rPr>
        <b/>
        <sz val="11"/>
        <rFont val="Arial"/>
        <family val="2"/>
      </rPr>
      <t>Note: If the participant has excluded earned income 250-300% FPL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(line 16) the Top Premium is applied.</t>
    </r>
  </si>
  <si>
    <r>
      <t xml:space="preserve">For individuals who are eligible for TWHA, the premium will depend on which of the following ranges match their TWHA Income.         </t>
    </r>
    <r>
      <rPr>
        <b/>
        <sz val="11"/>
        <rFont val="Arial"/>
        <family val="2"/>
      </rPr>
      <t>NOTE: If the participant has excluded earned income 250-300% FPL (line 19) Top Premium is applied.</t>
    </r>
  </si>
  <si>
    <r>
      <t xml:space="preserve">For couples who are eligible for TWHA, the premium will depend on which of the following ranges match their TWHA Income. </t>
    </r>
    <r>
      <rPr>
        <b/>
        <sz val="10"/>
        <rFont val="Arial"/>
        <family val="2"/>
      </rPr>
      <t xml:space="preserve">          NOTE: If the participant has excluded earned income 250-300% FPL (line 19) Top Premium is applied.</t>
    </r>
  </si>
  <si>
    <t>Excluded earned Income between 250 &amp; 300% FPL</t>
  </si>
  <si>
    <t>Step 4 - TWHA Eligibility If Working</t>
  </si>
  <si>
    <r>
      <t xml:space="preserve">Current Calculated Income, if working, after standard disregards              </t>
    </r>
    <r>
      <rPr>
        <sz val="10"/>
        <color theme="1"/>
        <rFont val="Arial"/>
        <family val="2"/>
      </rPr>
      <t xml:space="preserve"> (line 10 minus lines 11-15)</t>
    </r>
  </si>
  <si>
    <t>or more</t>
  </si>
  <si>
    <t>$2,705.00 -</t>
  </si>
  <si>
    <t>$3,607.00 -</t>
  </si>
  <si>
    <t>$1,804.01-</t>
  </si>
  <si>
    <t xml:space="preserve">              (Amount by which Countable Income exceeds the non-spend down Income limit of $1,330)</t>
  </si>
  <si>
    <t xml:space="preserve">                             (Amount by which Countable Income exceeds non-spend down Income limit of $1,804.00)</t>
  </si>
  <si>
    <r>
      <t xml:space="preserve">Current Calculated Income, if working, after standard disregards           </t>
    </r>
    <r>
      <rPr>
        <sz val="10"/>
        <color theme="1"/>
        <rFont val="Arial"/>
        <family val="2"/>
      </rPr>
      <t xml:space="preserve">         (line 10 minus lines 11-15)</t>
    </r>
  </si>
  <si>
    <t>$2,660.00 -</t>
  </si>
  <si>
    <t>$1,995.00 -</t>
  </si>
  <si>
    <t>$1,330.01 -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</si>
</sst>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55" x14ac:knownFonts="1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2"/>
      <color rgb="FF5A2781"/>
      <name val="Arial"/>
      <family val="2"/>
    </font>
    <font>
      <b/>
      <sz val="13"/>
      <color theme="3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i/>
      <sz val="10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3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2"/>
      <color indexed="56"/>
      <name val="Calibri"/>
      <family val="2"/>
    </font>
    <font>
      <b/>
      <sz val="9"/>
      <color theme="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color rgb="FFC0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indexed="56"/>
      <name val="Calibri"/>
      <family val="2"/>
    </font>
    <font>
      <i/>
      <sz val="9"/>
      <color indexed="56"/>
      <name val="Calibri"/>
      <family val="2"/>
    </font>
    <font>
      <b/>
      <i/>
      <sz val="9"/>
      <color theme="3"/>
      <name val="Calibri"/>
      <family val="2"/>
      <scheme val="minor"/>
    </font>
    <font>
      <b/>
      <sz val="10"/>
      <color theme="1"/>
      <name val="Arial"/>
      <family val="2"/>
    </font>
    <font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Arial Narrow"/>
      <family val="2"/>
    </font>
    <font>
      <b/>
      <sz val="13"/>
      <name val="Arial"/>
      <family val="2"/>
    </font>
    <font>
      <b/>
      <sz val="1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8"/>
      <color rgb="FFFF0000"/>
      <name val="Arial"/>
      <family val="2"/>
    </font>
    <font>
      <sz val="20"/>
      <color rgb="FF7030A0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CDCF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double">
        <color theme="4"/>
      </top>
      <bottom style="thick">
        <color theme="4" tint="0.499984740745262"/>
      </bottom>
      <diagonal/>
    </border>
    <border>
      <left/>
      <right/>
      <top/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/>
      </bottom>
      <diagonal/>
    </border>
    <border>
      <left/>
      <right/>
      <top style="thick">
        <color theme="4" tint="0.499984740745262"/>
      </top>
      <bottom style="thin">
        <color auto="1"/>
      </bottom>
      <diagonal/>
    </border>
    <border>
      <left/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/>
      <right/>
      <top style="double">
        <color theme="4"/>
      </top>
      <bottom style="thick">
        <color theme="4" tint="0.499984740745262"/>
      </bottom>
      <diagonal/>
    </border>
    <border>
      <left/>
      <right/>
      <top style="thin">
        <color auto="1"/>
      </top>
      <bottom style="double">
        <color theme="4"/>
      </bottom>
      <diagonal/>
    </border>
    <border>
      <left/>
      <right/>
      <top/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theme="4"/>
      </bottom>
      <diagonal/>
    </border>
    <border>
      <left/>
      <right style="thin">
        <color auto="1"/>
      </right>
      <top/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double">
        <color theme="4"/>
      </bottom>
      <diagonal/>
    </border>
    <border>
      <left style="thin">
        <color auto="1"/>
      </left>
      <right/>
      <top/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double">
        <color theme="4"/>
      </bottom>
      <diagonal/>
    </border>
    <border>
      <left style="thin">
        <color auto="1"/>
      </left>
      <right/>
      <top/>
      <bottom style="double">
        <color theme="3" tint="0.39994506668294322"/>
      </bottom>
      <diagonal/>
    </border>
    <border>
      <left/>
      <right/>
      <top/>
      <bottom style="double">
        <color theme="3" tint="0.39994506668294322"/>
      </bottom>
      <diagonal/>
    </border>
    <border>
      <left/>
      <right style="thin">
        <color auto="1"/>
      </right>
      <top/>
      <bottom style="double">
        <color theme="3" tint="0.39994506668294322"/>
      </bottom>
      <diagonal/>
    </border>
    <border>
      <left style="thin">
        <color auto="1"/>
      </left>
      <right style="thin">
        <color auto="1"/>
      </right>
      <top/>
      <bottom style="double">
        <color theme="3" tint="0.39994506668294322"/>
      </bottom>
      <diagonal/>
    </border>
    <border>
      <left/>
      <right/>
      <top style="double">
        <color theme="4" tint="-0.24994659260841701"/>
      </top>
      <bottom/>
      <diagonal/>
    </border>
    <border>
      <left style="thin">
        <color auto="1"/>
      </left>
      <right/>
      <top style="thin">
        <color auto="1"/>
      </top>
      <bottom style="double">
        <color theme="4" tint="-0.24994659260841701"/>
      </bottom>
      <diagonal/>
    </border>
    <border>
      <left/>
      <right/>
      <top style="thin">
        <color auto="1"/>
      </top>
      <bottom style="double">
        <color theme="4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theme="4" tint="-0.24994659260841701"/>
      </bottom>
      <diagonal/>
    </border>
    <border>
      <left/>
      <right/>
      <top style="double">
        <color theme="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ck">
        <color theme="4" tint="0.49998474074526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3" fillId="0" borderId="8" applyNumberFormat="0" applyFill="0" applyAlignment="0" applyProtection="0"/>
    <xf numFmtId="0" fontId="4" fillId="0" borderId="9" applyNumberFormat="0" applyFill="0" applyAlignment="0" applyProtection="0"/>
    <xf numFmtId="0" fontId="5" fillId="0" borderId="10" applyNumberFormat="0" applyFill="0" applyAlignment="0" applyProtection="0"/>
    <xf numFmtId="44" fontId="2" fillId="0" borderId="0" applyFont="0" applyFill="0" applyBorder="0" applyAlignment="0" applyProtection="0"/>
    <xf numFmtId="0" fontId="47" fillId="0" borderId="0" applyNumberFormat="0" applyFill="0" applyBorder="0" applyAlignment="0" applyProtection="0"/>
  </cellStyleXfs>
  <cellXfs count="313">
    <xf numFmtId="0" fontId="0" fillId="0" borderId="0" xfId="0"/>
    <xf numFmtId="0" fontId="0" fillId="3" borderId="0" xfId="0" applyFill="1"/>
    <xf numFmtId="0" fontId="0" fillId="0" borderId="0" xfId="0" applyAlignment="1">
      <alignment wrapText="1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left" vertical="top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right" vertical="center"/>
    </xf>
    <xf numFmtId="0" fontId="9" fillId="0" borderId="11" xfId="3" applyFont="1" applyBorder="1" applyProtection="1"/>
    <xf numFmtId="164" fontId="15" fillId="4" borderId="4" xfId="1" applyNumberFormat="1" applyFont="1" applyFill="1" applyBorder="1" applyAlignment="1" applyProtection="1">
      <alignment horizontal="right" vertical="center"/>
    </xf>
    <xf numFmtId="164" fontId="17" fillId="2" borderId="4" xfId="1" applyNumberFormat="1" applyFont="1" applyBorder="1" applyAlignment="1" applyProtection="1">
      <alignment horizontal="right" vertical="center"/>
    </xf>
    <xf numFmtId="164" fontId="15" fillId="4" borderId="19" xfId="1" applyNumberFormat="1" applyFont="1" applyFill="1" applyBorder="1" applyAlignment="1" applyProtection="1">
      <alignment horizontal="right" vertical="center"/>
    </xf>
    <xf numFmtId="0" fontId="9" fillId="0" borderId="0" xfId="3" applyFont="1" applyBorder="1" applyProtection="1"/>
    <xf numFmtId="164" fontId="11" fillId="4" borderId="4" xfId="4" applyNumberFormat="1" applyFont="1" applyFill="1" applyBorder="1" applyAlignment="1" applyProtection="1">
      <alignment horizontal="right" vertical="top"/>
    </xf>
    <xf numFmtId="164" fontId="11" fillId="4" borderId="27" xfId="4" applyNumberFormat="1" applyFont="1" applyFill="1" applyBorder="1" applyAlignment="1" applyProtection="1">
      <alignment horizontal="right" vertical="top"/>
    </xf>
    <xf numFmtId="164" fontId="11" fillId="4" borderId="19" xfId="4" applyNumberFormat="1" applyFont="1" applyFill="1" applyBorder="1" applyAlignment="1" applyProtection="1">
      <alignment horizontal="right"/>
    </xf>
    <xf numFmtId="0" fontId="6" fillId="4" borderId="6" xfId="0" applyFont="1" applyFill="1" applyBorder="1" applyAlignment="1">
      <alignment horizontal="right" vertical="center"/>
    </xf>
    <xf numFmtId="7" fontId="6" fillId="4" borderId="7" xfId="5" applyNumberFormat="1" applyFont="1" applyFill="1" applyBorder="1" applyAlignment="1" applyProtection="1">
      <alignment horizontal="left" vertical="center"/>
    </xf>
    <xf numFmtId="0" fontId="10" fillId="4" borderId="2" xfId="0" applyFont="1" applyFill="1" applyBorder="1" applyAlignment="1">
      <alignment horizontal="center" vertical="center"/>
    </xf>
    <xf numFmtId="0" fontId="15" fillId="4" borderId="19" xfId="1" applyNumberFormat="1" applyFont="1" applyFill="1" applyBorder="1" applyAlignment="1" applyProtection="1">
      <alignment horizontal="right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11" fillId="4" borderId="13" xfId="4" applyNumberFormat="1" applyFont="1" applyFill="1" applyBorder="1" applyAlignment="1" applyProtection="1">
      <alignment horizontal="right" vertical="top"/>
    </xf>
    <xf numFmtId="0" fontId="18" fillId="0" borderId="9" xfId="3" applyFont="1" applyProtection="1"/>
    <xf numFmtId="0" fontId="7" fillId="0" borderId="30" xfId="0" applyFont="1" applyBorder="1" applyAlignment="1">
      <alignment horizontal="center" vertical="center"/>
    </xf>
    <xf numFmtId="164" fontId="8" fillId="5" borderId="33" xfId="1" applyNumberFormat="1" applyFont="1" applyFill="1" applyBorder="1" applyAlignment="1" applyProtection="1">
      <alignment horizontal="left" vertical="top"/>
    </xf>
    <xf numFmtId="0" fontId="7" fillId="3" borderId="29" xfId="0" applyFont="1" applyFill="1" applyBorder="1" applyAlignment="1">
      <alignment horizontal="right" vertical="center"/>
    </xf>
    <xf numFmtId="164" fontId="26" fillId="4" borderId="4" xfId="1" applyNumberFormat="1" applyFont="1" applyFill="1" applyBorder="1" applyAlignment="1" applyProtection="1">
      <alignment horizontal="right" vertical="center"/>
    </xf>
    <xf numFmtId="0" fontId="11" fillId="3" borderId="23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right" vertical="top" wrapText="1"/>
    </xf>
    <xf numFmtId="0" fontId="11" fillId="3" borderId="3" xfId="0" applyFont="1" applyFill="1" applyBorder="1" applyAlignment="1">
      <alignment horizontal="right" indent="1"/>
    </xf>
    <xf numFmtId="0" fontId="7" fillId="0" borderId="21" xfId="0" quotePrefix="1" applyFont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4" fontId="7" fillId="0" borderId="1" xfId="0" applyNumberFormat="1" applyFont="1" applyBorder="1" applyAlignment="1" applyProtection="1">
      <alignment horizontal="left"/>
      <protection locked="0"/>
    </xf>
    <xf numFmtId="164" fontId="21" fillId="4" borderId="4" xfId="4" applyNumberFormat="1" applyFont="1" applyFill="1" applyBorder="1" applyAlignment="1" applyProtection="1">
      <alignment horizontal="right" vertical="top"/>
    </xf>
    <xf numFmtId="164" fontId="16" fillId="4" borderId="4" xfId="1" applyNumberFormat="1" applyFont="1" applyFill="1" applyBorder="1" applyAlignment="1" applyProtection="1">
      <alignment horizontal="right" vertical="center"/>
    </xf>
    <xf numFmtId="0" fontId="25" fillId="0" borderId="6" xfId="3" applyFont="1" applyBorder="1" applyAlignment="1" applyProtection="1">
      <alignment horizontal="right" vertical="center"/>
    </xf>
    <xf numFmtId="164" fontId="25" fillId="0" borderId="6" xfId="3" applyNumberFormat="1" applyFont="1" applyBorder="1" applyAlignment="1" applyProtection="1">
      <alignment horizontal="left" vertical="center"/>
    </xf>
    <xf numFmtId="0" fontId="25" fillId="0" borderId="1" xfId="3" applyFont="1" applyBorder="1" applyAlignment="1" applyProtection="1">
      <alignment horizontal="right" vertical="center"/>
    </xf>
    <xf numFmtId="0" fontId="9" fillId="0" borderId="9" xfId="3" applyFont="1" applyProtection="1"/>
    <xf numFmtId="0" fontId="9" fillId="0" borderId="16" xfId="3" applyFont="1" applyBorder="1" applyProtection="1"/>
    <xf numFmtId="0" fontId="7" fillId="0" borderId="3" xfId="0" applyFont="1" applyBorder="1" applyAlignment="1">
      <alignment horizontal="left" vertical="center" indent="1"/>
    </xf>
    <xf numFmtId="0" fontId="7" fillId="0" borderId="30" xfId="0" applyFont="1" applyBorder="1" applyAlignment="1">
      <alignment horizontal="left" vertical="center" indent="1"/>
    </xf>
    <xf numFmtId="0" fontId="7" fillId="0" borderId="2" xfId="0" quotePrefix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5" fillId="0" borderId="0" xfId="3" applyFont="1" applyBorder="1" applyAlignment="1" applyProtection="1">
      <alignment vertical="top"/>
    </xf>
    <xf numFmtId="164" fontId="18" fillId="0" borderId="9" xfId="3" applyNumberFormat="1" applyFont="1" applyProtection="1"/>
    <xf numFmtId="164" fontId="11" fillId="4" borderId="4" xfId="4" applyNumberFormat="1" applyFont="1" applyFill="1" applyBorder="1" applyAlignment="1" applyProtection="1">
      <alignment horizontal="right" vertical="center"/>
    </xf>
    <xf numFmtId="0" fontId="33" fillId="4" borderId="6" xfId="0" applyFont="1" applyFill="1" applyBorder="1" applyAlignment="1">
      <alignment horizontal="left" vertical="center"/>
    </xf>
    <xf numFmtId="164" fontId="35" fillId="4" borderId="4" xfId="1" applyNumberFormat="1" applyFont="1" applyFill="1" applyBorder="1" applyAlignment="1" applyProtection="1">
      <alignment horizontal="right" vertical="center"/>
    </xf>
    <xf numFmtId="0" fontId="36" fillId="0" borderId="0" xfId="0" applyFont="1"/>
    <xf numFmtId="164" fontId="35" fillId="4" borderId="4" xfId="1" applyNumberFormat="1" applyFont="1" applyFill="1" applyBorder="1" applyAlignment="1" applyProtection="1">
      <alignment horizontal="right"/>
    </xf>
    <xf numFmtId="164" fontId="16" fillId="4" borderId="4" xfId="1" applyNumberFormat="1" applyFont="1" applyFill="1" applyBorder="1" applyAlignment="1" applyProtection="1">
      <alignment horizontal="right"/>
    </xf>
    <xf numFmtId="0" fontId="36" fillId="4" borderId="2" xfId="0" applyFont="1" applyFill="1" applyBorder="1"/>
    <xf numFmtId="0" fontId="22" fillId="4" borderId="6" xfId="0" applyFont="1" applyFill="1" applyBorder="1" applyAlignment="1">
      <alignment horizontal="left" indent="1"/>
    </xf>
    <xf numFmtId="0" fontId="36" fillId="4" borderId="6" xfId="0" applyFont="1" applyFill="1" applyBorder="1"/>
    <xf numFmtId="0" fontId="36" fillId="4" borderId="7" xfId="0" applyFont="1" applyFill="1" applyBorder="1"/>
    <xf numFmtId="0" fontId="11" fillId="4" borderId="13" xfId="4" applyNumberFormat="1" applyFont="1" applyFill="1" applyBorder="1" applyAlignment="1" applyProtection="1">
      <alignment horizontal="right" vertical="center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11" fillId="3" borderId="23" xfId="0" applyFont="1" applyFill="1" applyBorder="1" applyAlignment="1" applyProtection="1">
      <alignment horizontal="center" vertical="center"/>
      <protection locked="0"/>
    </xf>
    <xf numFmtId="0" fontId="18" fillId="0" borderId="9" xfId="3" applyFont="1" applyProtection="1">
      <protection locked="0"/>
    </xf>
    <xf numFmtId="0" fontId="6" fillId="4" borderId="2" xfId="0" applyFont="1" applyFill="1" applyBorder="1" applyAlignment="1" applyProtection="1">
      <alignment horizontal="right" vertical="center"/>
      <protection locked="0"/>
    </xf>
    <xf numFmtId="164" fontId="17" fillId="2" borderId="5" xfId="1" applyNumberFormat="1" applyFont="1" applyBorder="1" applyAlignment="1" applyProtection="1">
      <alignment vertical="center"/>
    </xf>
    <xf numFmtId="164" fontId="7" fillId="2" borderId="5" xfId="1" applyNumberFormat="1" applyFont="1" applyBorder="1" applyAlignment="1" applyProtection="1">
      <alignment vertical="center"/>
    </xf>
    <xf numFmtId="164" fontId="7" fillId="2" borderId="4" xfId="1" applyNumberFormat="1" applyFont="1" applyBorder="1" applyAlignment="1" applyProtection="1">
      <alignment horizontal="right" vertical="center"/>
    </xf>
    <xf numFmtId="164" fontId="8" fillId="5" borderId="4" xfId="1" applyNumberFormat="1" applyFont="1" applyFill="1" applyBorder="1" applyAlignment="1" applyProtection="1">
      <alignment horizontal="right" vertical="center"/>
      <protection locked="0"/>
    </xf>
    <xf numFmtId="164" fontId="8" fillId="5" borderId="19" xfId="1" applyNumberFormat="1" applyFont="1" applyFill="1" applyBorder="1" applyAlignment="1" applyProtection="1">
      <alignment horizontal="right" vertical="center"/>
      <protection locked="0"/>
    </xf>
    <xf numFmtId="164" fontId="8" fillId="5" borderId="33" xfId="1" applyNumberFormat="1" applyFont="1" applyFill="1" applyBorder="1" applyAlignment="1" applyProtection="1">
      <alignment horizontal="right" vertical="top"/>
    </xf>
    <xf numFmtId="164" fontId="8" fillId="5" borderId="4" xfId="1" applyNumberFormat="1" applyFont="1" applyFill="1" applyBorder="1" applyAlignment="1" applyProtection="1">
      <alignment vertical="center"/>
      <protection locked="0"/>
    </xf>
    <xf numFmtId="164" fontId="8" fillId="5" borderId="37" xfId="1" applyNumberFormat="1" applyFont="1" applyFill="1" applyBorder="1" applyAlignment="1" applyProtection="1">
      <alignment vertical="center"/>
      <protection locked="0"/>
    </xf>
    <xf numFmtId="0" fontId="15" fillId="4" borderId="4" xfId="1" applyNumberFormat="1" applyFont="1" applyFill="1" applyBorder="1" applyAlignment="1" applyProtection="1">
      <alignment horizontal="right" vertical="center"/>
    </xf>
    <xf numFmtId="164" fontId="25" fillId="0" borderId="1" xfId="3" applyNumberFormat="1" applyFont="1" applyBorder="1" applyAlignment="1" applyProtection="1">
      <alignment horizontal="right" vertical="center"/>
    </xf>
    <xf numFmtId="0" fontId="7" fillId="0" borderId="0" xfId="0" applyFont="1" applyAlignment="1">
      <alignment vertical="center"/>
    </xf>
    <xf numFmtId="0" fontId="25" fillId="0" borderId="6" xfId="3" quotePrefix="1" applyFont="1" applyBorder="1" applyAlignment="1" applyProtection="1">
      <alignment vertical="top"/>
    </xf>
    <xf numFmtId="0" fontId="25" fillId="0" borderId="6" xfId="3" applyFont="1" applyBorder="1" applyAlignment="1" applyProtection="1">
      <alignment vertical="top"/>
    </xf>
    <xf numFmtId="164" fontId="25" fillId="0" borderId="6" xfId="3" applyNumberFormat="1" applyFont="1" applyFill="1" applyBorder="1" applyAlignment="1" applyProtection="1">
      <alignment horizontal="left" vertical="center"/>
    </xf>
    <xf numFmtId="164" fontId="25" fillId="0" borderId="1" xfId="3" applyNumberFormat="1" applyFont="1" applyFill="1" applyBorder="1" applyAlignment="1" applyProtection="1">
      <alignment horizontal="left" vertical="center"/>
    </xf>
    <xf numFmtId="164" fontId="25" fillId="0" borderId="6" xfId="3" applyNumberFormat="1" applyFont="1" applyFill="1" applyBorder="1" applyAlignment="1" applyProtection="1">
      <alignment horizontal="left" vertical="top" indent="1"/>
    </xf>
    <xf numFmtId="0" fontId="25" fillId="0" borderId="1" xfId="3" applyFont="1" applyFill="1" applyBorder="1" applyAlignment="1" applyProtection="1">
      <alignment horizontal="right" vertical="center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9" fillId="0" borderId="38" xfId="3" applyFont="1" applyBorder="1" applyProtection="1"/>
    <xf numFmtId="0" fontId="25" fillId="0" borderId="21" xfId="3" applyFont="1" applyBorder="1" applyAlignment="1" applyProtection="1">
      <alignment horizontal="center"/>
    </xf>
    <xf numFmtId="0" fontId="25" fillId="0" borderId="14" xfId="3" applyFont="1" applyBorder="1" applyProtection="1"/>
    <xf numFmtId="0" fontId="39" fillId="0" borderId="14" xfId="3" applyFont="1" applyBorder="1" applyProtection="1"/>
    <xf numFmtId="3" fontId="15" fillId="5" borderId="5" xfId="1" applyNumberFormat="1" applyFont="1" applyFill="1" applyBorder="1" applyAlignment="1" applyProtection="1">
      <alignment horizontal="right" vertical="center"/>
      <protection locked="0"/>
    </xf>
    <xf numFmtId="0" fontId="25" fillId="0" borderId="22" xfId="3" applyFont="1" applyBorder="1" applyAlignment="1" applyProtection="1">
      <alignment horizontal="center"/>
    </xf>
    <xf numFmtId="0" fontId="25" fillId="0" borderId="1" xfId="3" applyFont="1" applyBorder="1" applyProtection="1"/>
    <xf numFmtId="0" fontId="39" fillId="0" borderId="1" xfId="3" applyFont="1" applyBorder="1" applyProtection="1"/>
    <xf numFmtId="0" fontId="25" fillId="0" borderId="2" xfId="3" applyFont="1" applyBorder="1" applyAlignment="1" applyProtection="1">
      <alignment horizontal="center"/>
    </xf>
    <xf numFmtId="0" fontId="7" fillId="0" borderId="39" xfId="0" applyFont="1" applyBorder="1" applyAlignment="1">
      <alignment horizontal="center" vertical="center"/>
    </xf>
    <xf numFmtId="164" fontId="15" fillId="5" borderId="5" xfId="1" applyNumberFormat="1" applyFont="1" applyFill="1" applyBorder="1" applyAlignment="1" applyProtection="1">
      <alignment horizontal="right" vertical="center"/>
      <protection locked="0"/>
    </xf>
    <xf numFmtId="164" fontId="15" fillId="5" borderId="4" xfId="1" applyNumberFormat="1" applyFont="1" applyFill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1" fontId="7" fillId="0" borderId="1" xfId="0" applyNumberFormat="1" applyFont="1" applyBorder="1" applyAlignment="1">
      <alignment horizontal="left"/>
    </xf>
    <xf numFmtId="0" fontId="7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0" fillId="6" borderId="6" xfId="0" applyFill="1" applyBorder="1"/>
    <xf numFmtId="0" fontId="7" fillId="2" borderId="1" xfId="1" applyFont="1" applyBorder="1" applyAlignment="1" applyProtection="1">
      <alignment horizontal="right"/>
    </xf>
    <xf numFmtId="164" fontId="7" fillId="4" borderId="4" xfId="0" applyNumberFormat="1" applyFont="1" applyFill="1" applyBorder="1" applyAlignment="1">
      <alignment horizontal="right"/>
    </xf>
    <xf numFmtId="164" fontId="17" fillId="7" borderId="20" xfId="1" applyNumberFormat="1" applyFont="1" applyFill="1" applyBorder="1" applyAlignment="1" applyProtection="1">
      <alignment horizontal="right" vertical="center"/>
    </xf>
    <xf numFmtId="164" fontId="17" fillId="7" borderId="7" xfId="1" applyNumberFormat="1" applyFont="1" applyFill="1" applyBorder="1" applyAlignment="1" applyProtection="1">
      <alignment horizontal="right" vertical="center"/>
    </xf>
    <xf numFmtId="0" fontId="0" fillId="6" borderId="0" xfId="0" applyFill="1"/>
    <xf numFmtId="164" fontId="15" fillId="4" borderId="7" xfId="1" applyNumberFormat="1" applyFont="1" applyFill="1" applyBorder="1" applyAlignment="1" applyProtection="1">
      <alignment horizontal="right" vertical="center"/>
    </xf>
    <xf numFmtId="0" fontId="7" fillId="0" borderId="2" xfId="0" applyFont="1" applyBorder="1" applyAlignment="1">
      <alignment horizontal="center"/>
    </xf>
    <xf numFmtId="0" fontId="7" fillId="4" borderId="6" xfId="1" applyFont="1" applyFill="1" applyBorder="1" applyAlignment="1" applyProtection="1">
      <alignment vertical="center"/>
    </xf>
    <xf numFmtId="0" fontId="22" fillId="4" borderId="1" xfId="1" applyFont="1" applyFill="1" applyBorder="1" applyAlignment="1" applyProtection="1">
      <alignment horizontal="left" vertical="center" indent="5"/>
    </xf>
    <xf numFmtId="0" fontId="22" fillId="4" borderId="20" xfId="1" applyFont="1" applyFill="1" applyBorder="1" applyAlignment="1" applyProtection="1">
      <alignment horizontal="left" vertical="center" indent="5"/>
    </xf>
    <xf numFmtId="164" fontId="17" fillId="4" borderId="7" xfId="0" applyNumberFormat="1" applyFont="1" applyFill="1" applyBorder="1"/>
    <xf numFmtId="0" fontId="7" fillId="4" borderId="6" xfId="0" applyFont="1" applyFill="1" applyBorder="1" applyAlignment="1">
      <alignment horizontal="left"/>
    </xf>
    <xf numFmtId="164" fontId="17" fillId="4" borderId="20" xfId="0" applyNumberFormat="1" applyFont="1" applyFill="1" applyBorder="1"/>
    <xf numFmtId="0" fontId="22" fillId="4" borderId="6" xfId="1" applyFont="1" applyFill="1" applyBorder="1" applyAlignment="1" applyProtection="1">
      <alignment horizontal="left" vertical="center" indent="5"/>
    </xf>
    <xf numFmtId="0" fontId="22" fillId="4" borderId="7" xfId="1" applyFont="1" applyFill="1" applyBorder="1" applyAlignment="1" applyProtection="1">
      <alignment horizontal="left" vertical="center" indent="5"/>
    </xf>
    <xf numFmtId="164" fontId="17" fillId="4" borderId="7" xfId="1" applyNumberFormat="1" applyFont="1" applyFill="1" applyBorder="1" applyAlignment="1" applyProtection="1">
      <alignment horizontal="right" vertical="center"/>
    </xf>
    <xf numFmtId="0" fontId="7" fillId="0" borderId="22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left"/>
    </xf>
    <xf numFmtId="0" fontId="7" fillId="4" borderId="6" xfId="0" applyFont="1" applyFill="1" applyBorder="1"/>
    <xf numFmtId="0" fontId="7" fillId="4" borderId="7" xfId="0" applyFont="1" applyFill="1" applyBorder="1"/>
    <xf numFmtId="0" fontId="7" fillId="4" borderId="0" xfId="0" applyFont="1" applyFill="1" applyAlignment="1">
      <alignment horizontal="left"/>
    </xf>
    <xf numFmtId="0" fontId="7" fillId="4" borderId="0" xfId="0" applyFont="1" applyFill="1"/>
    <xf numFmtId="0" fontId="7" fillId="4" borderId="40" xfId="0" applyFont="1" applyFill="1" applyBorder="1"/>
    <xf numFmtId="164" fontId="11" fillId="4" borderId="4" xfId="0" applyNumberFormat="1" applyFont="1" applyFill="1" applyBorder="1"/>
    <xf numFmtId="0" fontId="28" fillId="4" borderId="23" xfId="0" applyFont="1" applyFill="1" applyBorder="1" applyAlignment="1">
      <alignment horizontal="left" vertical="center" wrapText="1" indent="1"/>
    </xf>
    <xf numFmtId="164" fontId="11" fillId="4" borderId="26" xfId="0" applyNumberFormat="1" applyFont="1" applyFill="1" applyBorder="1"/>
    <xf numFmtId="164" fontId="17" fillId="4" borderId="5" xfId="0" applyNumberFormat="1" applyFont="1" applyFill="1" applyBorder="1"/>
    <xf numFmtId="164" fontId="17" fillId="4" borderId="4" xfId="0" applyNumberFormat="1" applyFont="1" applyFill="1" applyBorder="1"/>
    <xf numFmtId="164" fontId="11" fillId="4" borderId="42" xfId="0" applyNumberFormat="1" applyFont="1" applyFill="1" applyBorder="1"/>
    <xf numFmtId="0" fontId="10" fillId="0" borderId="2" xfId="0" applyFont="1" applyBorder="1" applyAlignment="1">
      <alignment horizontal="center" vertical="center"/>
    </xf>
    <xf numFmtId="164" fontId="11" fillId="4" borderId="4" xfId="4" applyNumberFormat="1" applyFont="1" applyFill="1" applyBorder="1" applyAlignment="1" applyProtection="1">
      <alignment horizontal="right"/>
    </xf>
    <xf numFmtId="164" fontId="25" fillId="0" borderId="23" xfId="3" applyNumberFormat="1" applyFont="1" applyFill="1" applyBorder="1" applyAlignment="1" applyProtection="1">
      <alignment horizontal="right" vertical="center"/>
    </xf>
    <xf numFmtId="0" fontId="7" fillId="0" borderId="23" xfId="0" applyFont="1" applyBorder="1"/>
    <xf numFmtId="0" fontId="25" fillId="0" borderId="23" xfId="3" applyFont="1" applyFill="1" applyBorder="1" applyAlignment="1" applyProtection="1">
      <alignment horizontal="right" vertical="center"/>
    </xf>
    <xf numFmtId="0" fontId="25" fillId="0" borderId="6" xfId="3" applyFont="1" applyFill="1" applyBorder="1" applyAlignment="1" applyProtection="1">
      <alignment horizontal="right" vertical="top"/>
    </xf>
    <xf numFmtId="0" fontId="25" fillId="0" borderId="1" xfId="3" applyFont="1" applyFill="1" applyBorder="1" applyAlignment="1" applyProtection="1">
      <alignment horizontal="right" vertical="top"/>
    </xf>
    <xf numFmtId="164" fontId="25" fillId="0" borderId="1" xfId="3" applyNumberFormat="1" applyFont="1" applyFill="1" applyBorder="1" applyAlignment="1" applyProtection="1">
      <alignment horizontal="left" vertical="top" indent="1"/>
    </xf>
    <xf numFmtId="164" fontId="25" fillId="0" borderId="1" xfId="3" applyNumberFormat="1" applyFont="1" applyFill="1" applyBorder="1" applyAlignment="1" applyProtection="1">
      <alignment horizontal="right" vertical="top" indent="1"/>
    </xf>
    <xf numFmtId="0" fontId="7" fillId="0" borderId="0" xfId="0" applyFont="1" applyAlignment="1">
      <alignment vertical="top"/>
    </xf>
    <xf numFmtId="0" fontId="0" fillId="0" borderId="6" xfId="0" applyBorder="1"/>
    <xf numFmtId="164" fontId="15" fillId="4" borderId="41" xfId="0" applyNumberFormat="1" applyFont="1" applyFill="1" applyBorder="1"/>
    <xf numFmtId="0" fontId="7" fillId="4" borderId="6" xfId="0" applyFont="1" applyFill="1" applyBorder="1" applyAlignment="1">
      <alignment horizontal="left" vertical="center"/>
    </xf>
    <xf numFmtId="0" fontId="10" fillId="4" borderId="23" xfId="0" applyFont="1" applyFill="1" applyBorder="1" applyAlignment="1">
      <alignment horizontal="left"/>
    </xf>
    <xf numFmtId="0" fontId="7" fillId="0" borderId="1" xfId="0" applyFont="1" applyBorder="1" applyAlignment="1" applyProtection="1">
      <alignment horizontal="center"/>
      <protection locked="0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22" fillId="3" borderId="12" xfId="0" applyFont="1" applyFill="1" applyBorder="1" applyAlignment="1">
      <alignment horizontal="right" wrapText="1"/>
    </xf>
    <xf numFmtId="164" fontId="11" fillId="4" borderId="42" xfId="4" applyNumberFormat="1" applyFont="1" applyFill="1" applyBorder="1" applyAlignment="1" applyProtection="1">
      <alignment horizontal="right" vertical="top"/>
    </xf>
    <xf numFmtId="0" fontId="11" fillId="3" borderId="39" xfId="0" applyFont="1" applyFill="1" applyBorder="1" applyAlignment="1">
      <alignment horizontal="right" indent="1"/>
    </xf>
    <xf numFmtId="164" fontId="11" fillId="4" borderId="40" xfId="4" applyNumberFormat="1" applyFont="1" applyFill="1" applyBorder="1" applyAlignment="1" applyProtection="1">
      <alignment horizontal="right"/>
    </xf>
    <xf numFmtId="6" fontId="22" fillId="3" borderId="12" xfId="0" applyNumberFormat="1" applyFont="1" applyFill="1" applyBorder="1" applyAlignment="1">
      <alignment horizontal="right" vertical="center" wrapText="1"/>
    </xf>
    <xf numFmtId="6" fontId="10" fillId="4" borderId="24" xfId="0" applyNumberFormat="1" applyFont="1" applyFill="1" applyBorder="1" applyAlignment="1">
      <alignment horizontal="left"/>
    </xf>
    <xf numFmtId="164" fontId="15" fillId="4" borderId="4" xfId="5" applyNumberFormat="1" applyFont="1" applyFill="1" applyBorder="1" applyAlignment="1" applyProtection="1">
      <alignment horizontal="right" vertical="center"/>
    </xf>
    <xf numFmtId="164" fontId="11" fillId="4" borderId="42" xfId="4" applyNumberFormat="1" applyFont="1" applyFill="1" applyBorder="1" applyAlignment="1" applyProtection="1">
      <alignment horizontal="right"/>
    </xf>
    <xf numFmtId="6" fontId="22" fillId="3" borderId="26" xfId="0" applyNumberFormat="1" applyFont="1" applyFill="1" applyBorder="1" applyAlignment="1">
      <alignment horizontal="right" wrapText="1"/>
    </xf>
    <xf numFmtId="0" fontId="42" fillId="4" borderId="6" xfId="0" applyFont="1" applyFill="1" applyBorder="1" applyAlignment="1">
      <alignment horizontal="right" vertical="center"/>
    </xf>
    <xf numFmtId="0" fontId="22" fillId="3" borderId="0" xfId="0" applyFont="1" applyFill="1" applyAlignment="1">
      <alignment horizontal="right" vertical="top" wrapText="1"/>
    </xf>
    <xf numFmtId="0" fontId="28" fillId="3" borderId="0" xfId="0" applyFont="1" applyFill="1" applyAlignment="1">
      <alignment horizontal="left" vertical="center" wrapText="1" indent="1"/>
    </xf>
    <xf numFmtId="0" fontId="22" fillId="3" borderId="0" xfId="0" applyFont="1" applyFill="1" applyAlignment="1">
      <alignment horizontal="right" vertical="center" wrapText="1"/>
    </xf>
    <xf numFmtId="164" fontId="11" fillId="4" borderId="0" xfId="4" applyNumberFormat="1" applyFont="1" applyFill="1" applyBorder="1" applyAlignment="1" applyProtection="1">
      <alignment horizontal="right" vertical="top"/>
    </xf>
    <xf numFmtId="0" fontId="22" fillId="3" borderId="0" xfId="0" applyFont="1" applyFill="1" applyAlignment="1">
      <alignment horizontal="right" wrapText="1"/>
    </xf>
    <xf numFmtId="164" fontId="11" fillId="0" borderId="0" xfId="4" applyNumberFormat="1" applyFont="1" applyFill="1" applyBorder="1" applyAlignment="1" applyProtection="1">
      <alignment horizontal="right" vertical="top"/>
    </xf>
    <xf numFmtId="0" fontId="11" fillId="0" borderId="13" xfId="4" applyNumberFormat="1" applyFont="1" applyFill="1" applyBorder="1" applyAlignment="1" applyProtection="1">
      <alignment horizontal="right" vertical="center"/>
    </xf>
    <xf numFmtId="14" fontId="22" fillId="0" borderId="1" xfId="0" applyNumberFormat="1" applyFont="1" applyBorder="1" applyAlignment="1" applyProtection="1">
      <alignment horizontal="left"/>
      <protection locked="0"/>
    </xf>
    <xf numFmtId="0" fontId="0" fillId="8" borderId="0" xfId="0" applyFill="1"/>
    <xf numFmtId="0" fontId="43" fillId="8" borderId="0" xfId="0" applyFont="1" applyFill="1"/>
    <xf numFmtId="0" fontId="0" fillId="3" borderId="43" xfId="0" applyFill="1" applyBorder="1"/>
    <xf numFmtId="0" fontId="0" fillId="3" borderId="45" xfId="0" applyFill="1" applyBorder="1"/>
    <xf numFmtId="0" fontId="0" fillId="3" borderId="46" xfId="0" applyFill="1" applyBorder="1"/>
    <xf numFmtId="0" fontId="0" fillId="3" borderId="47" xfId="0" applyFill="1" applyBorder="1"/>
    <xf numFmtId="7" fontId="50" fillId="4" borderId="7" xfId="5" applyNumberFormat="1" applyFont="1" applyFill="1" applyBorder="1" applyAlignment="1" applyProtection="1">
      <alignment horizontal="left" vertical="center"/>
    </xf>
    <xf numFmtId="7" fontId="33" fillId="4" borderId="7" xfId="5" applyNumberFormat="1" applyFont="1" applyFill="1" applyBorder="1" applyAlignment="1" applyProtection="1">
      <alignment horizontal="left" vertical="center"/>
    </xf>
    <xf numFmtId="0" fontId="54" fillId="4" borderId="23" xfId="0" applyFont="1" applyFill="1" applyBorder="1" applyAlignment="1">
      <alignment horizontal="left"/>
    </xf>
    <xf numFmtId="164" fontId="25" fillId="0" borderId="6" xfId="5" applyNumberFormat="1" applyFont="1" applyFill="1" applyBorder="1" applyAlignment="1" applyProtection="1">
      <alignment horizontal="right" vertical="top"/>
    </xf>
    <xf numFmtId="8" fontId="25" fillId="0" borderId="6" xfId="3" applyNumberFormat="1" applyFont="1" applyBorder="1" applyAlignment="1" applyProtection="1">
      <alignment horizontal="right" vertical="center"/>
    </xf>
    <xf numFmtId="0" fontId="48" fillId="3" borderId="0" xfId="6" applyFont="1" applyFill="1" applyBorder="1" applyAlignment="1">
      <alignment horizontal="center"/>
    </xf>
    <xf numFmtId="0" fontId="46" fillId="3" borderId="0" xfId="0" applyFont="1" applyFill="1" applyAlignment="1">
      <alignment horizontal="center" vertical="center"/>
    </xf>
    <xf numFmtId="0" fontId="45" fillId="3" borderId="0" xfId="0" applyFont="1" applyFill="1" applyAlignment="1">
      <alignment horizontal="center" vertical="center"/>
    </xf>
    <xf numFmtId="0" fontId="44" fillId="3" borderId="44" xfId="0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49" fillId="3" borderId="50" xfId="0" applyFont="1" applyFill="1" applyBorder="1" applyAlignment="1">
      <alignment horizontal="center"/>
    </xf>
    <xf numFmtId="0" fontId="49" fillId="3" borderId="49" xfId="0" applyFont="1" applyFill="1" applyBorder="1" applyAlignment="1">
      <alignment horizontal="center"/>
    </xf>
    <xf numFmtId="0" fontId="49" fillId="3" borderId="48" xfId="0" applyFont="1" applyFill="1" applyBorder="1" applyAlignment="1">
      <alignment horizontal="center"/>
    </xf>
    <xf numFmtId="0" fontId="40" fillId="0" borderId="18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31" fillId="0" borderId="34" xfId="2" applyFont="1" applyBorder="1" applyAlignment="1">
      <alignment horizontal="left" vertical="center"/>
    </xf>
    <xf numFmtId="0" fontId="32" fillId="0" borderId="34" xfId="2" applyFont="1" applyBorder="1" applyAlignment="1">
      <alignment horizontal="left" vertical="center"/>
    </xf>
    <xf numFmtId="0" fontId="7" fillId="0" borderId="0" xfId="0" applyFont="1" applyAlignment="1">
      <alignment horizontal="right" indent="1"/>
    </xf>
    <xf numFmtId="0" fontId="7" fillId="0" borderId="1" xfId="0" applyFont="1" applyBorder="1" applyAlignment="1" applyProtection="1">
      <alignment horizontal="left"/>
      <protection locked="0"/>
    </xf>
    <xf numFmtId="0" fontId="7" fillId="4" borderId="6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left" vertical="center"/>
    </xf>
    <xf numFmtId="0" fontId="7" fillId="0" borderId="0" xfId="0" applyFont="1" applyAlignment="1">
      <alignment horizontal="right" wrapText="1" indent="1"/>
    </xf>
    <xf numFmtId="0" fontId="24" fillId="0" borderId="1" xfId="0" applyFont="1" applyBorder="1" applyAlignment="1" applyProtection="1">
      <alignment horizontal="left"/>
      <protection locked="0"/>
    </xf>
    <xf numFmtId="0" fontId="10" fillId="0" borderId="1" xfId="0" applyFont="1" applyBorder="1" applyAlignment="1" applyProtection="1">
      <alignment horizontal="left"/>
      <protection locked="0"/>
    </xf>
    <xf numFmtId="0" fontId="27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4"/>
    </xf>
    <xf numFmtId="0" fontId="9" fillId="0" borderId="16" xfId="3" applyFont="1" applyBorder="1" applyProtection="1"/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9" fillId="0" borderId="9" xfId="3" applyFont="1" applyProtection="1"/>
    <xf numFmtId="0" fontId="7" fillId="2" borderId="14" xfId="1" applyFont="1" applyBorder="1" applyAlignment="1" applyProtection="1">
      <alignment horizontal="left"/>
    </xf>
    <xf numFmtId="0" fontId="7" fillId="2" borderId="15" xfId="1" applyFont="1" applyBorder="1" applyAlignment="1" applyProtection="1">
      <alignment horizontal="left"/>
    </xf>
    <xf numFmtId="0" fontId="28" fillId="3" borderId="23" xfId="0" applyFont="1" applyFill="1" applyBorder="1" applyAlignment="1">
      <alignment horizontal="left" vertical="center" wrapText="1" indent="1"/>
    </xf>
    <xf numFmtId="0" fontId="28" fillId="3" borderId="0" xfId="0" applyFont="1" applyFill="1" applyAlignment="1">
      <alignment horizontal="left" vertical="center" wrapText="1" indent="1"/>
    </xf>
    <xf numFmtId="0" fontId="28" fillId="3" borderId="12" xfId="0" applyFont="1" applyFill="1" applyBorder="1" applyAlignment="1">
      <alignment horizontal="left" vertical="center" wrapText="1" indent="1"/>
    </xf>
    <xf numFmtId="0" fontId="11" fillId="3" borderId="23" xfId="0" applyFont="1" applyFill="1" applyBorder="1" applyAlignment="1">
      <alignment horizontal="right" indent="1"/>
    </xf>
    <xf numFmtId="0" fontId="11" fillId="3" borderId="24" xfId="0" applyFont="1" applyFill="1" applyBorder="1" applyAlignment="1">
      <alignment horizontal="right" indent="1"/>
    </xf>
    <xf numFmtId="0" fontId="22" fillId="3" borderId="0" xfId="0" applyFont="1" applyFill="1" applyAlignment="1">
      <alignment horizontal="right" vertical="center" wrapText="1"/>
    </xf>
    <xf numFmtId="0" fontId="22" fillId="3" borderId="40" xfId="0" applyFont="1" applyFill="1" applyBorder="1" applyAlignment="1">
      <alignment horizontal="right" vertical="center" wrapText="1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2" borderId="14" xfId="1" applyFont="1" applyBorder="1" applyAlignment="1" applyProtection="1">
      <alignment horizontal="left" vertical="center"/>
    </xf>
    <xf numFmtId="0" fontId="7" fillId="2" borderId="15" xfId="1" applyFont="1" applyBorder="1" applyAlignment="1" applyProtection="1">
      <alignment horizontal="left" vertical="center"/>
    </xf>
    <xf numFmtId="0" fontId="34" fillId="0" borderId="21" xfId="0" applyFont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15" xfId="0" applyFont="1" applyBorder="1" applyAlignment="1">
      <alignment horizontal="left" vertical="center"/>
    </xf>
    <xf numFmtId="0" fontId="10" fillId="4" borderId="6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51" fillId="0" borderId="14" xfId="3" applyFont="1" applyBorder="1" applyAlignment="1" applyProtection="1">
      <alignment vertical="top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7" xfId="0" applyFont="1" applyFill="1" applyBorder="1" applyAlignment="1">
      <alignment horizontal="left" vertical="center" wrapText="1"/>
    </xf>
    <xf numFmtId="0" fontId="11" fillId="3" borderId="23" xfId="0" applyFont="1" applyFill="1" applyBorder="1" applyAlignment="1">
      <alignment horizontal="right" vertical="center" indent="1"/>
    </xf>
    <xf numFmtId="0" fontId="11" fillId="3" borderId="24" xfId="0" applyFont="1" applyFill="1" applyBorder="1" applyAlignment="1">
      <alignment horizontal="right" vertical="center" indent="1"/>
    </xf>
    <xf numFmtId="0" fontId="25" fillId="0" borderId="14" xfId="3" applyFont="1" applyBorder="1" applyAlignment="1" applyProtection="1">
      <alignment vertical="top" wrapText="1"/>
    </xf>
    <xf numFmtId="0" fontId="10" fillId="4" borderId="6" xfId="0" applyFont="1" applyFill="1" applyBorder="1" applyAlignment="1">
      <alignment horizontal="right" vertical="center" indent="2"/>
    </xf>
    <xf numFmtId="0" fontId="10" fillId="4" borderId="7" xfId="0" applyFont="1" applyFill="1" applyBorder="1" applyAlignment="1">
      <alignment horizontal="right" vertical="center" indent="2"/>
    </xf>
    <xf numFmtId="0" fontId="11" fillId="4" borderId="2" xfId="0" applyFont="1" applyFill="1" applyBorder="1" applyAlignment="1">
      <alignment horizontal="left"/>
    </xf>
    <xf numFmtId="0" fontId="11" fillId="4" borderId="6" xfId="0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22" fillId="4" borderId="2" xfId="0" applyFont="1" applyFill="1" applyBorder="1" applyAlignment="1">
      <alignment horizontal="left" vertical="center" indent="6"/>
    </xf>
    <xf numFmtId="0" fontId="22" fillId="4" borderId="6" xfId="0" applyFont="1" applyFill="1" applyBorder="1" applyAlignment="1">
      <alignment horizontal="left" vertical="center" indent="6"/>
    </xf>
    <xf numFmtId="0" fontId="22" fillId="4" borderId="7" xfId="0" applyFont="1" applyFill="1" applyBorder="1" applyAlignment="1">
      <alignment horizontal="left" vertical="center" indent="6"/>
    </xf>
    <xf numFmtId="0" fontId="22" fillId="4" borderId="2" xfId="0" applyFont="1" applyFill="1" applyBorder="1" applyAlignment="1">
      <alignment horizontal="left" indent="6"/>
    </xf>
    <xf numFmtId="0" fontId="22" fillId="4" borderId="6" xfId="0" applyFont="1" applyFill="1" applyBorder="1" applyAlignment="1">
      <alignment horizontal="left" indent="6"/>
    </xf>
    <xf numFmtId="0" fontId="22" fillId="4" borderId="7" xfId="0" applyFont="1" applyFill="1" applyBorder="1" applyAlignment="1">
      <alignment horizontal="left" indent="6"/>
    </xf>
    <xf numFmtId="0" fontId="7" fillId="4" borderId="2" xfId="0" applyFont="1" applyFill="1" applyBorder="1" applyAlignment="1">
      <alignment horizontal="left" vertical="center" indent="4"/>
    </xf>
    <xf numFmtId="0" fontId="7" fillId="4" borderId="6" xfId="0" applyFont="1" applyFill="1" applyBorder="1" applyAlignment="1">
      <alignment horizontal="left" vertical="center" indent="4"/>
    </xf>
    <xf numFmtId="0" fontId="7" fillId="4" borderId="7" xfId="0" applyFont="1" applyFill="1" applyBorder="1" applyAlignment="1">
      <alignment horizontal="left" vertical="center" indent="4"/>
    </xf>
    <xf numFmtId="0" fontId="34" fillId="0" borderId="2" xfId="0" applyFont="1" applyBorder="1" applyAlignment="1">
      <alignment horizontal="left" vertical="center"/>
    </xf>
    <xf numFmtId="0" fontId="34" fillId="0" borderId="6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41" fillId="0" borderId="18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wrapText="1"/>
    </xf>
    <xf numFmtId="0" fontId="29" fillId="0" borderId="34" xfId="2" applyFont="1" applyBorder="1" applyAlignment="1">
      <alignment horizontal="center" wrapText="1"/>
    </xf>
    <xf numFmtId="0" fontId="30" fillId="0" borderId="18" xfId="2" applyFont="1" applyBorder="1" applyAlignment="1">
      <alignment horizontal="center" vertical="top" wrapText="1"/>
    </xf>
    <xf numFmtId="0" fontId="29" fillId="0" borderId="18" xfId="2" applyFont="1" applyBorder="1" applyAlignment="1">
      <alignment horizontal="center" vertical="top" wrapText="1"/>
    </xf>
    <xf numFmtId="0" fontId="31" fillId="0" borderId="34" xfId="2" applyFont="1" applyBorder="1" applyAlignment="1">
      <alignment horizontal="left" vertical="center" wrapText="1"/>
    </xf>
    <xf numFmtId="0" fontId="32" fillId="0" borderId="34" xfId="2" applyFont="1" applyBorder="1" applyAlignment="1">
      <alignment horizontal="left" vertical="center" wrapText="1"/>
    </xf>
    <xf numFmtId="164" fontId="8" fillId="5" borderId="19" xfId="1" applyNumberFormat="1" applyFont="1" applyFill="1" applyBorder="1" applyAlignment="1" applyProtection="1">
      <alignment vertical="center"/>
      <protection locked="0"/>
    </xf>
    <xf numFmtId="164" fontId="8" fillId="5" borderId="33" xfId="1" applyNumberFormat="1" applyFont="1" applyFill="1" applyBorder="1" applyAlignment="1" applyProtection="1">
      <alignment vertical="center"/>
      <protection locked="0"/>
    </xf>
    <xf numFmtId="0" fontId="22" fillId="3" borderId="12" xfId="0" applyFont="1" applyFill="1" applyBorder="1" applyAlignment="1">
      <alignment horizontal="right" vertical="center" wrapText="1"/>
    </xf>
    <xf numFmtId="0" fontId="22" fillId="3" borderId="26" xfId="0" applyFont="1" applyFill="1" applyBorder="1" applyAlignment="1">
      <alignment horizontal="right" vertical="center" wrapText="1"/>
    </xf>
    <xf numFmtId="0" fontId="7" fillId="0" borderId="7" xfId="0" applyFont="1" applyBorder="1" applyAlignment="1">
      <alignment vertical="center"/>
    </xf>
    <xf numFmtId="0" fontId="7" fillId="0" borderId="36" xfId="0" applyFont="1" applyBorder="1" applyAlignment="1">
      <alignment vertical="center"/>
    </xf>
    <xf numFmtId="0" fontId="16" fillId="3" borderId="17" xfId="0" applyFont="1" applyFill="1" applyBorder="1" applyAlignment="1">
      <alignment horizontal="right" vertical="center" indent="1"/>
    </xf>
    <xf numFmtId="0" fontId="16" fillId="3" borderId="25" xfId="0" applyFont="1" applyFill="1" applyBorder="1" applyAlignment="1">
      <alignment horizontal="right" vertical="center" indent="1"/>
    </xf>
    <xf numFmtId="0" fontId="7" fillId="4" borderId="6" xfId="0" applyFont="1" applyFill="1" applyBorder="1" applyAlignment="1">
      <alignment horizontal="left" wrapText="1"/>
    </xf>
    <xf numFmtId="0" fontId="34" fillId="0" borderId="6" xfId="0" applyFont="1" applyBorder="1" applyAlignment="1">
      <alignment horizontal="left"/>
    </xf>
    <xf numFmtId="0" fontId="25" fillId="0" borderId="14" xfId="3" applyFont="1" applyBorder="1" applyAlignment="1" applyProtection="1">
      <alignment vertical="center" wrapText="1"/>
    </xf>
    <xf numFmtId="0" fontId="34" fillId="0" borderId="14" xfId="0" applyFont="1" applyBorder="1" applyAlignment="1">
      <alignment horizontal="left"/>
    </xf>
    <xf numFmtId="0" fontId="7" fillId="4" borderId="3" xfId="0" applyFont="1" applyFill="1" applyBorder="1" applyAlignment="1">
      <alignment horizontal="left" vertical="center" indent="4"/>
    </xf>
    <xf numFmtId="0" fontId="7" fillId="4" borderId="23" xfId="0" applyFont="1" applyFill="1" applyBorder="1" applyAlignment="1">
      <alignment horizontal="left" vertical="center" indent="4"/>
    </xf>
    <xf numFmtId="0" fontId="7" fillId="4" borderId="24" xfId="0" applyFont="1" applyFill="1" applyBorder="1" applyAlignment="1">
      <alignment horizontal="left" vertical="center" indent="4"/>
    </xf>
    <xf numFmtId="0" fontId="11" fillId="4" borderId="2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7" xfId="0" applyFont="1" applyFill="1" applyBorder="1" applyAlignment="1">
      <alignment horizontal="left" vertical="center"/>
    </xf>
    <xf numFmtId="0" fontId="41" fillId="0" borderId="18" xfId="2" applyFont="1" applyBorder="1" applyAlignment="1">
      <alignment horizontal="left" vertical="center"/>
    </xf>
    <xf numFmtId="0" fontId="31" fillId="0" borderId="34" xfId="2" applyFont="1" applyBorder="1" applyAlignment="1">
      <alignment horizontal="center" vertical="center" wrapText="1"/>
    </xf>
    <xf numFmtId="0" fontId="32" fillId="0" borderId="34" xfId="2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/>
    </xf>
    <xf numFmtId="0" fontId="7" fillId="0" borderId="23" xfId="0" applyFont="1" applyBorder="1" applyAlignment="1">
      <alignment vertical="top" wrapText="1"/>
    </xf>
    <xf numFmtId="0" fontId="7" fillId="0" borderId="24" xfId="0" applyFont="1" applyBorder="1" applyAlignment="1">
      <alignment vertical="top" wrapText="1"/>
    </xf>
    <xf numFmtId="0" fontId="7" fillId="0" borderId="31" xfId="0" applyFont="1" applyBorder="1" applyAlignment="1">
      <alignment vertical="top" wrapText="1"/>
    </xf>
    <xf numFmtId="0" fontId="7" fillId="0" borderId="32" xfId="0" applyFont="1" applyBorder="1" applyAlignment="1">
      <alignment vertical="top" wrapText="1"/>
    </xf>
    <xf numFmtId="0" fontId="7" fillId="2" borderId="6" xfId="1" applyFont="1" applyBorder="1" applyAlignment="1" applyProtection="1">
      <alignment horizontal="left"/>
    </xf>
    <xf numFmtId="0" fontId="7" fillId="2" borderId="7" xfId="1" applyFont="1" applyBorder="1" applyAlignment="1" applyProtection="1">
      <alignment horizontal="left"/>
    </xf>
    <xf numFmtId="0" fontId="22" fillId="2" borderId="2" xfId="1" applyFont="1" applyBorder="1" applyAlignment="1" applyProtection="1">
      <alignment horizontal="left" vertical="center" indent="5"/>
    </xf>
    <xf numFmtId="0" fontId="22" fillId="2" borderId="6" xfId="1" applyFont="1" applyBorder="1" applyAlignment="1" applyProtection="1">
      <alignment horizontal="left" vertical="center" indent="5"/>
    </xf>
    <xf numFmtId="0" fontId="22" fillId="2" borderId="7" xfId="1" applyFont="1" applyBorder="1" applyAlignment="1" applyProtection="1">
      <alignment horizontal="left" vertical="center" indent="5"/>
    </xf>
    <xf numFmtId="0" fontId="7" fillId="2" borderId="6" xfId="1" applyFont="1" applyBorder="1" applyAlignment="1" applyProtection="1">
      <alignment horizontal="left" vertical="center"/>
    </xf>
    <xf numFmtId="0" fontId="7" fillId="2" borderId="7" xfId="1" applyFont="1" applyBorder="1" applyAlignment="1" applyProtection="1">
      <alignment horizontal="left" vertical="center"/>
    </xf>
    <xf numFmtId="0" fontId="11" fillId="3" borderId="23" xfId="0" applyFont="1" applyFill="1" applyBorder="1" applyAlignment="1" applyProtection="1">
      <alignment horizontal="right" vertical="center" indent="1"/>
      <protection locked="0"/>
    </xf>
    <xf numFmtId="0" fontId="11" fillId="3" borderId="24" xfId="0" applyFont="1" applyFill="1" applyBorder="1" applyAlignment="1" applyProtection="1">
      <alignment horizontal="right" vertical="center" indent="1"/>
      <protection locked="0"/>
    </xf>
    <xf numFmtId="0" fontId="9" fillId="0" borderId="9" xfId="3" applyFont="1" applyProtection="1">
      <protection locked="0"/>
    </xf>
    <xf numFmtId="0" fontId="17" fillId="0" borderId="14" xfId="0" applyFont="1" applyBorder="1" applyAlignment="1">
      <alignment horizontal="left"/>
    </xf>
    <xf numFmtId="0" fontId="11" fillId="4" borderId="2" xfId="0" applyFont="1" applyFill="1" applyBorder="1" applyAlignment="1">
      <alignment horizontal="left" vertical="center" indent="4"/>
    </xf>
    <xf numFmtId="0" fontId="11" fillId="4" borderId="6" xfId="0" applyFont="1" applyFill="1" applyBorder="1" applyAlignment="1">
      <alignment horizontal="left" vertical="center" indent="4"/>
    </xf>
    <xf numFmtId="0" fontId="11" fillId="4" borderId="7" xfId="0" applyFont="1" applyFill="1" applyBorder="1" applyAlignment="1">
      <alignment horizontal="left" vertical="center" indent="4"/>
    </xf>
    <xf numFmtId="0" fontId="12" fillId="0" borderId="18" xfId="2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vertical="center" wrapText="1"/>
    </xf>
    <xf numFmtId="0" fontId="7" fillId="0" borderId="20" xfId="0" applyFont="1" applyBorder="1" applyAlignment="1">
      <alignment vertical="center" wrapText="1"/>
    </xf>
    <xf numFmtId="0" fontId="7" fillId="4" borderId="14" xfId="1" applyFont="1" applyFill="1" applyBorder="1" applyAlignment="1" applyProtection="1">
      <alignment horizontal="left"/>
    </xf>
    <xf numFmtId="0" fontId="7" fillId="4" borderId="15" xfId="1" applyFont="1" applyFill="1" applyBorder="1" applyAlignment="1" applyProtection="1">
      <alignment horizontal="left"/>
    </xf>
    <xf numFmtId="0" fontId="7" fillId="4" borderId="6" xfId="1" applyFont="1" applyFill="1" applyBorder="1" applyAlignment="1" applyProtection="1">
      <alignment horizontal="left"/>
    </xf>
    <xf numFmtId="0" fontId="7" fillId="4" borderId="7" xfId="1" applyFont="1" applyFill="1" applyBorder="1" applyAlignment="1" applyProtection="1">
      <alignment horizontal="left"/>
    </xf>
    <xf numFmtId="0" fontId="11" fillId="4" borderId="23" xfId="0" applyFont="1" applyFill="1" applyBorder="1" applyAlignment="1">
      <alignment horizontal="right" indent="1"/>
    </xf>
    <xf numFmtId="0" fontId="11" fillId="4" borderId="24" xfId="0" applyFont="1" applyFill="1" applyBorder="1" applyAlignment="1">
      <alignment horizontal="right" indent="1"/>
    </xf>
    <xf numFmtId="0" fontId="25" fillId="4" borderId="6" xfId="1" applyFont="1" applyFill="1" applyBorder="1" applyAlignment="1" applyProtection="1">
      <alignment horizontal="left" vertical="center"/>
    </xf>
    <xf numFmtId="0" fontId="25" fillId="4" borderId="7" xfId="1" applyFont="1" applyFill="1" applyBorder="1" applyAlignment="1" applyProtection="1">
      <alignment horizontal="left" vertical="center"/>
    </xf>
    <xf numFmtId="0" fontId="7" fillId="0" borderId="6" xfId="0" applyFont="1" applyBorder="1" applyAlignment="1" applyProtection="1">
      <alignment horizontal="left" wrapText="1"/>
      <protection locked="0"/>
    </xf>
    <xf numFmtId="0" fontId="7" fillId="0" borderId="6" xfId="0" applyFont="1" applyBorder="1" applyAlignment="1" applyProtection="1">
      <alignment horizontal="center" wrapText="1"/>
      <protection locked="0"/>
    </xf>
    <xf numFmtId="0" fontId="22" fillId="3" borderId="12" xfId="0" applyFont="1" applyFill="1" applyBorder="1" applyAlignment="1">
      <alignment horizontal="right" wrapText="1"/>
    </xf>
    <xf numFmtId="0" fontId="22" fillId="3" borderId="26" xfId="0" applyFont="1" applyFill="1" applyBorder="1" applyAlignment="1">
      <alignment horizontal="right" wrapText="1"/>
    </xf>
  </cellXfs>
  <cellStyles count="7">
    <cellStyle name="20% - Accent1" xfId="1" builtinId="30"/>
    <cellStyle name="Currency" xfId="5" builtinId="4"/>
    <cellStyle name="Heading 1" xfId="2" builtinId="16"/>
    <cellStyle name="Heading 2" xfId="3" builtinId="17"/>
    <cellStyle name="Hyperlink" xfId="6" builtinId="8"/>
    <cellStyle name="Normal" xfId="0" builtinId="0"/>
    <cellStyle name="Total" xfId="4" builtinId="25"/>
  </cellStyles>
  <dxfs count="0"/>
  <tableStyles count="0" defaultTableStyle="TableStyleMedium9" defaultPivotStyle="PivotStyleLight16"/>
  <colors>
    <mruColors>
      <color rgb="FFE2C9FB"/>
      <color rgb="FFECDC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4545002" y="742951"/>
          <a:ext cx="1406977" cy="6381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1774247</xdr:colOff>
      <xdr:row>3</xdr:row>
      <xdr:rowOff>117430</xdr:rowOff>
    </xdr:from>
    <xdr:to>
      <xdr:col>5</xdr:col>
      <xdr:colOff>740</xdr:colOff>
      <xdr:row>5</xdr:row>
      <xdr:rowOff>216477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050847" y="784180"/>
          <a:ext cx="1322118" cy="5752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  <a:endParaRPr lang="en-US" sz="700" baseline="0">
            <a:latin typeface="Arial" pitchFamily="34" charset="0"/>
            <a:cs typeface="Arial" pitchFamily="34" charset="0"/>
          </a:endParaRP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 Department of 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>
              <a:latin typeface="Arial" pitchFamily="34" charset="0"/>
              <a:cs typeface="Arial" pitchFamily="34" charset="0"/>
            </a:rPr>
            <a:t>573-751-0342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765097" y="601807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845897" cy="10390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530561" y="532534"/>
          <a:ext cx="845897" cy="10390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1</xdr:row>
      <xdr:rowOff>0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965122" y="304800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3</xdr:col>
      <xdr:colOff>2008911</xdr:colOff>
      <xdr:row>0</xdr:row>
      <xdr:rowOff>285750</xdr:rowOff>
    </xdr:from>
    <xdr:ext cx="1388346" cy="115165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5380761" y="285750"/>
          <a:ext cx="1388346" cy="11516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1497002</xdr:colOff>
      <xdr:row>2</xdr:row>
      <xdr:rowOff>190501</xdr:rowOff>
    </xdr:from>
    <xdr:to>
      <xdr:col>4</xdr:col>
      <xdr:colOff>1037079</xdr:colOff>
      <xdr:row>5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554277" y="571501"/>
          <a:ext cx="635452" cy="5238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0" tIns="0" rIns="0" bIns="0" rtlCol="0" anchor="t"/>
        <a:lstStyle/>
        <a:p>
          <a:pPr algn="r"/>
          <a:r>
            <a:rPr lang="en-US" sz="700">
              <a:latin typeface="Arial" pitchFamily="34" charset="0"/>
              <a:cs typeface="Arial" pitchFamily="34" charset="0"/>
            </a:rPr>
            <a:t>Produced by </a:t>
          </a:r>
          <a:br>
            <a:rPr lang="en-US" sz="700">
              <a:latin typeface="Arial" pitchFamily="34" charset="0"/>
              <a:cs typeface="Arial" pitchFamily="34" charset="0"/>
            </a:rPr>
          </a:br>
          <a:r>
            <a:rPr lang="en-US" sz="700">
              <a:latin typeface="Arial" pitchFamily="34" charset="0"/>
              <a:cs typeface="Arial" pitchFamily="34" charset="0"/>
            </a:rPr>
            <a:t>Missouri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Department of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Mental Health</a:t>
          </a:r>
        </a:p>
        <a:p>
          <a:pPr algn="r"/>
          <a:r>
            <a:rPr lang="en-US" sz="700" baseline="0">
              <a:latin typeface="Arial" pitchFamily="34" charset="0"/>
              <a:cs typeface="Arial" pitchFamily="34" charset="0"/>
            </a:rPr>
            <a:t>573-751-0342</a:t>
          </a:r>
        </a:p>
        <a:p>
          <a:pPr algn="r"/>
          <a:endParaRPr lang="en-US" sz="7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1593272</xdr:colOff>
      <xdr:row>2</xdr:row>
      <xdr:rowOff>173182</xdr:rowOff>
    </xdr:from>
    <xdr:ext cx="1870364" cy="614795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2555297" y="554182"/>
          <a:ext cx="1870364" cy="614795"/>
        </a:xfrm>
        <a:prstGeom prst="rect">
          <a:avLst/>
        </a:prstGeom>
        <a:noFill/>
      </xdr:spPr>
      <xdr:txBody>
        <a:bodyPr wrap="square" lIns="91440" tIns="45720" rIns="91440" bIns="45720">
          <a:noAutofit/>
          <a:scene3d>
            <a:camera prst="orthographicFront"/>
            <a:lightRig rig="glow" dir="tl">
              <a:rot lat="0" lon="0" rev="5400000"/>
            </a:lightRig>
          </a:scene3d>
          <a:sp3d contourW="12700">
            <a:bevelT w="25400" h="25400"/>
            <a:contourClr>
              <a:schemeClr val="accent6">
                <a:shade val="73000"/>
              </a:schemeClr>
            </a:contourClr>
          </a:sp3d>
        </a:bodyPr>
        <a:lstStyle/>
        <a:p>
          <a:pPr algn="ctr"/>
          <a:endParaRPr lang="en-US" sz="800" b="0" cap="none" spc="0">
            <a:ln w="11430"/>
            <a:solidFill>
              <a:sysClr val="windowText" lastClr="000000"/>
            </a:solidFill>
            <a:effectLst>
              <a:outerShdw blurRad="80000" dist="40000" dir="5040000" algn="tl">
                <a:srgbClr val="000000">
                  <a:alpha val="30000"/>
                </a:srgbClr>
              </a:outerShdw>
            </a:effectLst>
          </a:endParaRPr>
        </a:p>
      </xdr:txBody>
    </xdr:sp>
    <xdr:clientData/>
  </xdr:oneCellAnchor>
  <xdr:oneCellAnchor>
    <xdr:from>
      <xdr:col>4</xdr:col>
      <xdr:colOff>34636</xdr:colOff>
      <xdr:row>2</xdr:row>
      <xdr:rowOff>103909</xdr:rowOff>
    </xdr:from>
    <xdr:ext cx="905164" cy="81049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5902036" y="523009"/>
          <a:ext cx="905164" cy="81049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Produced by </a:t>
          </a:r>
          <a:br>
            <a:rPr lang="en-US" sz="700"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Missouri</a:t>
          </a:r>
        </a:p>
        <a:p>
          <a:pPr algn="r"/>
          <a:r>
            <a:rPr lang="en-US" sz="700">
              <a:latin typeface="Arial" panose="020B0604020202020204" pitchFamily="34" charset="0"/>
              <a:cs typeface="Arial" panose="020B0604020202020204" pitchFamily="34" charset="0"/>
            </a:rPr>
            <a:t>Deptartment</a:t>
          </a:r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 of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Mental Health</a:t>
          </a:r>
        </a:p>
        <a:p>
          <a:pPr algn="r"/>
          <a:r>
            <a:rPr lang="en-US" sz="700" baseline="0">
              <a:latin typeface="Arial" panose="020B0604020202020204" pitchFamily="34" charset="0"/>
              <a:cs typeface="Arial" panose="020B0604020202020204" pitchFamily="34" charset="0"/>
            </a:rPr>
            <a:t>573-751-0342</a:t>
          </a:r>
        </a:p>
        <a:p>
          <a:pPr algn="r"/>
          <a:endParaRPr lang="en-US" sz="7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endParaRPr lang="en-US" sz="800">
            <a:latin typeface="Arial Narrow" panose="020B0606020202030204" pitchFamily="34" charset="0"/>
            <a:cs typeface="Arial" panose="020B0604020202020204" pitchFamily="34" charset="0"/>
          </a:endParaRPr>
        </a:p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U16"/>
  <sheetViews>
    <sheetView tabSelected="1" zoomScale="75" zoomScaleNormal="75" workbookViewId="0">
      <selection activeCell="J4" sqref="J4:L4"/>
    </sheetView>
  </sheetViews>
  <sheetFormatPr defaultColWidth="8.6640625" defaultRowHeight="14.4" x14ac:dyDescent="0.3"/>
  <cols>
    <col min="1" max="1" width="1.77734375" style="168" customWidth="1"/>
    <col min="2" max="8" width="8.6640625" style="167"/>
    <col min="9" max="9" width="6.109375" style="167" customWidth="1"/>
    <col min="10" max="10" width="11.77734375" style="167" customWidth="1"/>
    <col min="11" max="11" width="8.6640625" style="167"/>
    <col min="12" max="12" width="20.44140625" style="167" customWidth="1"/>
    <col min="13" max="18" width="8.6640625" style="167"/>
    <col min="19" max="19" width="13.44140625" style="167" customWidth="1"/>
    <col min="20" max="21" width="8.6640625" style="167"/>
  </cols>
  <sheetData>
    <row r="1" spans="2:20" ht="7.5" customHeight="1" thickBot="1" x14ac:dyDescent="0.35"/>
    <row r="2" spans="2:20" ht="37.200000000000003" thickBot="1" x14ac:dyDescent="0.75">
      <c r="B2" s="183" t="s">
        <v>174</v>
      </c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5"/>
    </row>
    <row r="3" spans="2:20" x14ac:dyDescent="0.3">
      <c r="B3" s="1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71"/>
    </row>
    <row r="4" spans="2:20" ht="21" x14ac:dyDescent="0.4">
      <c r="B4" s="172"/>
      <c r="C4" s="1"/>
      <c r="D4" s="1"/>
      <c r="E4" s="1"/>
      <c r="F4" s="1"/>
      <c r="G4" s="1"/>
      <c r="H4" s="1"/>
      <c r="I4" s="1"/>
      <c r="J4" s="178" t="s">
        <v>173</v>
      </c>
      <c r="K4" s="178"/>
      <c r="L4" s="178"/>
      <c r="M4" s="1"/>
      <c r="N4" s="1"/>
      <c r="O4" s="1"/>
      <c r="P4" s="1"/>
      <c r="Q4" s="1"/>
      <c r="R4" s="1"/>
      <c r="S4" s="1"/>
      <c r="T4" s="171"/>
    </row>
    <row r="5" spans="2:20" ht="21" x14ac:dyDescent="0.4">
      <c r="B5" s="172"/>
      <c r="C5" s="1"/>
      <c r="D5" s="1"/>
      <c r="E5" s="1"/>
      <c r="F5" s="1"/>
      <c r="G5" s="1"/>
      <c r="H5" s="1"/>
      <c r="I5" s="1"/>
      <c r="J5" s="178" t="s">
        <v>172</v>
      </c>
      <c r="K5" s="178"/>
      <c r="L5" s="178"/>
      <c r="M5" s="1"/>
      <c r="N5" s="1"/>
      <c r="O5" s="1"/>
      <c r="P5" s="1"/>
      <c r="Q5" s="1"/>
      <c r="R5" s="1"/>
      <c r="S5" s="1"/>
      <c r="T5" s="171"/>
    </row>
    <row r="6" spans="2:20" ht="21" x14ac:dyDescent="0.4">
      <c r="B6" s="172"/>
      <c r="C6" s="1"/>
      <c r="D6" s="1"/>
      <c r="E6" s="1"/>
      <c r="F6" s="1"/>
      <c r="G6" s="1"/>
      <c r="H6" s="1"/>
      <c r="I6" s="1"/>
      <c r="J6" s="178" t="s">
        <v>171</v>
      </c>
      <c r="K6" s="178"/>
      <c r="L6" s="178"/>
      <c r="M6" s="1"/>
      <c r="N6" s="1"/>
      <c r="O6" s="1"/>
      <c r="P6" s="1"/>
      <c r="Q6" s="1"/>
      <c r="R6" s="1"/>
      <c r="S6" s="1"/>
      <c r="T6" s="171"/>
    </row>
    <row r="7" spans="2:20" ht="21" x14ac:dyDescent="0.4">
      <c r="B7" s="172"/>
      <c r="C7" s="1"/>
      <c r="D7" s="1"/>
      <c r="E7" s="1"/>
      <c r="F7" s="1"/>
      <c r="G7" s="1"/>
      <c r="H7" s="1"/>
      <c r="I7" s="1"/>
      <c r="J7" s="178" t="s">
        <v>170</v>
      </c>
      <c r="K7" s="178"/>
      <c r="L7" s="178"/>
      <c r="M7" s="1"/>
      <c r="N7" s="1"/>
      <c r="O7" s="1"/>
      <c r="P7" s="1"/>
      <c r="Q7" s="1"/>
      <c r="R7" s="1"/>
      <c r="S7" s="1"/>
      <c r="T7" s="171"/>
    </row>
    <row r="8" spans="2:20" ht="21" x14ac:dyDescent="0.4">
      <c r="B8" s="172"/>
      <c r="C8" s="1"/>
      <c r="D8" s="1"/>
      <c r="E8" s="1"/>
      <c r="F8" s="1"/>
      <c r="G8" s="1"/>
      <c r="H8" s="1"/>
      <c r="I8" s="1"/>
      <c r="J8" s="178" t="s">
        <v>169</v>
      </c>
      <c r="K8" s="178"/>
      <c r="L8" s="178"/>
      <c r="M8" s="1"/>
      <c r="N8" s="1"/>
      <c r="O8" s="1"/>
      <c r="P8" s="1"/>
      <c r="Q8" s="1"/>
      <c r="R8" s="1"/>
      <c r="S8" s="1"/>
      <c r="T8" s="171"/>
    </row>
    <row r="9" spans="2:20" ht="21" x14ac:dyDescent="0.4">
      <c r="B9" s="172"/>
      <c r="C9" s="1"/>
      <c r="D9" s="1"/>
      <c r="E9" s="1"/>
      <c r="F9" s="1"/>
      <c r="G9" s="1"/>
      <c r="H9" s="1"/>
      <c r="I9" s="1"/>
      <c r="J9" s="178" t="s">
        <v>168</v>
      </c>
      <c r="K9" s="178"/>
      <c r="L9" s="178"/>
      <c r="M9" s="1"/>
      <c r="N9" s="1"/>
      <c r="O9" s="1"/>
      <c r="P9" s="1"/>
      <c r="Q9" s="1"/>
      <c r="R9" s="1"/>
      <c r="S9" s="1"/>
      <c r="T9" s="171"/>
    </row>
    <row r="10" spans="2:20" x14ac:dyDescent="0.3">
      <c r="B10" s="17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71"/>
    </row>
    <row r="11" spans="2:20" ht="24.6" x14ac:dyDescent="0.3">
      <c r="B11" s="172"/>
      <c r="C11" s="179" t="s">
        <v>167</v>
      </c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1"/>
    </row>
    <row r="12" spans="2:20" x14ac:dyDescent="0.3">
      <c r="B12" s="172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71"/>
    </row>
    <row r="13" spans="2:20" ht="22.8" x14ac:dyDescent="0.3">
      <c r="B13" s="172"/>
      <c r="C13" s="180" t="s">
        <v>166</v>
      </c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71"/>
    </row>
    <row r="14" spans="2:20" x14ac:dyDescent="0.3">
      <c r="B14" s="172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71"/>
    </row>
    <row r="15" spans="2:20" x14ac:dyDescent="0.3">
      <c r="B15" s="172"/>
      <c r="C15" s="182" t="s">
        <v>165</v>
      </c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71"/>
    </row>
    <row r="16" spans="2:20" ht="15" thickBot="1" x14ac:dyDescent="0.35">
      <c r="B16" s="170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1"/>
      <c r="S16" s="181"/>
      <c r="T16" s="169"/>
    </row>
  </sheetData>
  <mergeCells count="11">
    <mergeCell ref="J8:L8"/>
    <mergeCell ref="B2:T2"/>
    <mergeCell ref="J4:L4"/>
    <mergeCell ref="J6:L6"/>
    <mergeCell ref="J7:L7"/>
    <mergeCell ref="J5:L5"/>
    <mergeCell ref="J9:L9"/>
    <mergeCell ref="C11:S11"/>
    <mergeCell ref="C13:S13"/>
    <mergeCell ref="C16:S16"/>
    <mergeCell ref="C15:S15"/>
  </mergeCells>
  <hyperlinks>
    <hyperlink ref="J4:L4" location="' Single Adult'!A1" display="Single disabled adult" xr:uid="{00000000-0004-0000-0000-000000000000}"/>
    <hyperlink ref="J5:L5" location="'Couple, both disabled'!A1" display="◦ Couple, both disabled" xr:uid="{00000000-0004-0000-0000-000001000000}"/>
    <hyperlink ref="J6:L6" location="'Couple, 1 with disability'!A1" display="◦ Couple, one with disability" xr:uid="{00000000-0004-0000-0000-000002000000}"/>
    <hyperlink ref="J7:L7" location="'Disabled child &lt; 18 '!A1" display="◦ Disabled child under 18" xr:uid="{00000000-0004-0000-0000-000003000000}"/>
    <hyperlink ref="J8:L8" location="' Blind Single'!A1" display="Single blind adult" xr:uid="{00000000-0004-0000-0000-000004000000}"/>
    <hyperlink ref="J9:L9" location="'Couple, 1 blind'!A1" display="◦ Couple, one blind" xr:uid="{00000000-0004-0000-0000-000005000000}"/>
  </hyperlinks>
  <pageMargins left="0.25" right="0.25" top="0.75" bottom="0.75" header="0.3" footer="0.3"/>
  <pageSetup orientation="portrait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A60"/>
  <sheetViews>
    <sheetView showGridLines="0" view="pageLayout" zoomScaleNormal="110" zoomScaleSheetLayoutView="90" workbookViewId="0">
      <selection activeCell="E10" sqref="E10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186" t="s">
        <v>124</v>
      </c>
      <c r="B1" s="186"/>
      <c r="C1" s="186"/>
      <c r="D1" s="186"/>
      <c r="E1" s="186"/>
    </row>
    <row r="2" spans="1:5" ht="21.75" customHeight="1" thickTop="1" thickBot="1" x14ac:dyDescent="0.35">
      <c r="A2" s="187" t="s">
        <v>160</v>
      </c>
      <c r="B2" s="188"/>
      <c r="C2" s="188"/>
      <c r="D2" s="188"/>
      <c r="E2" s="188"/>
    </row>
    <row r="3" spans="1:5" ht="16.5" customHeight="1" thickTop="1" x14ac:dyDescent="0.3">
      <c r="A3" s="189" t="s">
        <v>87</v>
      </c>
      <c r="B3" s="190"/>
      <c r="C3" s="190"/>
      <c r="D3" s="190"/>
      <c r="E3" s="190"/>
    </row>
    <row r="4" spans="1:5" ht="15.75" customHeight="1" x14ac:dyDescent="0.3">
      <c r="A4" s="191" t="s">
        <v>0</v>
      </c>
      <c r="B4" s="191"/>
      <c r="C4" s="36"/>
      <c r="D4" s="4"/>
      <c r="E4" s="3"/>
    </row>
    <row r="5" spans="1:5" ht="21.75" customHeight="1" x14ac:dyDescent="0.3">
      <c r="A5" s="191" t="s">
        <v>1</v>
      </c>
      <c r="B5" s="191"/>
      <c r="C5" s="192" t="s">
        <v>67</v>
      </c>
      <c r="D5" s="192"/>
      <c r="E5" s="3"/>
    </row>
    <row r="6" spans="1:5" s="2" customFormat="1" ht="24" customHeight="1" x14ac:dyDescent="0.3">
      <c r="A6" s="195" t="s">
        <v>2</v>
      </c>
      <c r="B6" s="195"/>
      <c r="C6" s="196" t="s">
        <v>67</v>
      </c>
      <c r="D6" s="197"/>
      <c r="E6" s="5"/>
    </row>
    <row r="7" spans="1:5" s="2" customFormat="1" ht="20.25" customHeight="1" x14ac:dyDescent="0.3">
      <c r="A7" s="198" t="s">
        <v>30</v>
      </c>
      <c r="B7" s="198"/>
      <c r="C7" s="198"/>
      <c r="D7" s="198"/>
      <c r="E7" s="198"/>
    </row>
    <row r="8" spans="1:5" ht="23.25" customHeight="1" thickBot="1" x14ac:dyDescent="0.35">
      <c r="A8" s="199" t="s">
        <v>3</v>
      </c>
      <c r="B8" s="199"/>
      <c r="C8" s="199"/>
      <c r="D8" s="199"/>
      <c r="E8" s="199"/>
    </row>
    <row r="9" spans="1:5" ht="32.25" customHeight="1" thickTop="1" thickBot="1" x14ac:dyDescent="0.35">
      <c r="A9" s="200" t="s">
        <v>32</v>
      </c>
      <c r="B9" s="200"/>
      <c r="C9" s="200"/>
      <c r="D9" s="200"/>
      <c r="E9" s="43"/>
    </row>
    <row r="10" spans="1:5" s="8" customFormat="1" ht="18" customHeight="1" thickTop="1" x14ac:dyDescent="0.3">
      <c r="A10" s="7" t="s">
        <v>4</v>
      </c>
      <c r="B10" s="201" t="s">
        <v>38</v>
      </c>
      <c r="C10" s="201"/>
      <c r="D10" s="202"/>
      <c r="E10" s="68">
        <v>0</v>
      </c>
    </row>
    <row r="11" spans="1:5" s="8" customFormat="1" ht="18" customHeight="1" x14ac:dyDescent="0.3">
      <c r="A11" s="7" t="s">
        <v>5</v>
      </c>
      <c r="B11" s="201" t="s">
        <v>15</v>
      </c>
      <c r="C11" s="201"/>
      <c r="D11" s="202"/>
      <c r="E11" s="68">
        <v>0</v>
      </c>
    </row>
    <row r="12" spans="1:5" s="8" customFormat="1" ht="18" customHeight="1" x14ac:dyDescent="0.3">
      <c r="A12" s="7" t="s">
        <v>6</v>
      </c>
      <c r="B12" s="201" t="s">
        <v>16</v>
      </c>
      <c r="C12" s="201"/>
      <c r="D12" s="202"/>
      <c r="E12" s="68">
        <v>0</v>
      </c>
    </row>
    <row r="13" spans="1:5" s="8" customFormat="1" ht="18" customHeight="1" x14ac:dyDescent="0.3">
      <c r="A13" s="7" t="s">
        <v>7</v>
      </c>
      <c r="B13" s="203" t="s">
        <v>80</v>
      </c>
      <c r="C13" s="203"/>
      <c r="D13" s="204"/>
      <c r="E13" s="69">
        <v>0</v>
      </c>
    </row>
    <row r="14" spans="1:5" s="8" customFormat="1" ht="18" customHeight="1" thickBot="1" x14ac:dyDescent="0.35">
      <c r="A14" s="27"/>
      <c r="B14" s="205"/>
      <c r="C14" s="205"/>
      <c r="D14" s="206"/>
      <c r="E14" s="70" t="s">
        <v>67</v>
      </c>
    </row>
    <row r="15" spans="1:5" s="8" customFormat="1" ht="34.950000000000003" customHeight="1" thickTop="1" thickBot="1" x14ac:dyDescent="0.35">
      <c r="A15" s="207" t="s">
        <v>34</v>
      </c>
      <c r="B15" s="207"/>
      <c r="C15" s="207"/>
      <c r="D15" s="207"/>
      <c r="E15" s="26"/>
    </row>
    <row r="16" spans="1:5" ht="15" customHeight="1" thickTop="1" x14ac:dyDescent="0.3">
      <c r="A16" s="9" t="s">
        <v>8</v>
      </c>
      <c r="B16" s="208" t="s">
        <v>31</v>
      </c>
      <c r="C16" s="208"/>
      <c r="D16" s="209"/>
      <c r="E16" s="13">
        <f xml:space="preserve"> E10+E11</f>
        <v>0</v>
      </c>
    </row>
    <row r="17" spans="1:105" ht="15" customHeight="1" x14ac:dyDescent="0.3">
      <c r="A17" s="9" t="s">
        <v>9</v>
      </c>
      <c r="B17" s="193" t="s">
        <v>33</v>
      </c>
      <c r="C17" s="193"/>
      <c r="D17" s="194"/>
      <c r="E17" s="12">
        <f>IF(E16&gt;0,20,0)</f>
        <v>0</v>
      </c>
    </row>
    <row r="18" spans="1:105" ht="15" customHeight="1" x14ac:dyDescent="0.3">
      <c r="A18" s="9" t="s">
        <v>10</v>
      </c>
      <c r="B18" s="193" t="s">
        <v>78</v>
      </c>
      <c r="C18" s="193"/>
      <c r="D18" s="194"/>
      <c r="E18" s="16">
        <f>IF(E16&gt;0,IF((E16-(E12+E13+E17))&gt;0,E16-(E12+E13+E17),0),0)</f>
        <v>0</v>
      </c>
    </row>
    <row r="19" spans="1:105" ht="15" customHeight="1" x14ac:dyDescent="0.3">
      <c r="A19" s="33"/>
      <c r="B19" s="210" t="s">
        <v>67</v>
      </c>
      <c r="C19" s="213" t="s">
        <v>36</v>
      </c>
      <c r="D19" s="214"/>
      <c r="E19" s="150"/>
    </row>
    <row r="20" spans="1:105" ht="21.75" customHeight="1" x14ac:dyDescent="0.3">
      <c r="A20" s="151"/>
      <c r="B20" s="211"/>
      <c r="C20" s="215" t="s">
        <v>151</v>
      </c>
      <c r="D20" s="216"/>
      <c r="E20" s="152">
        <f>ROUNDDOWN(IF(E18-D21&gt;0,E18-D21,0),0)</f>
        <v>0</v>
      </c>
    </row>
    <row r="21" spans="1:105" ht="24.45" customHeight="1" thickBot="1" x14ac:dyDescent="0.35">
      <c r="A21" s="32"/>
      <c r="B21" s="212"/>
      <c r="C21" t="s">
        <v>67</v>
      </c>
      <c r="D21" s="153">
        <v>1131</v>
      </c>
      <c r="E21" s="17"/>
    </row>
    <row r="22" spans="1:105" ht="30" customHeight="1" thickTop="1" thickBot="1" x14ac:dyDescent="0.35">
      <c r="A22" s="200" t="s">
        <v>35</v>
      </c>
      <c r="B22" s="200"/>
      <c r="C22" s="200"/>
      <c r="D22" s="200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17" t="s">
        <v>141</v>
      </c>
      <c r="C23" s="217"/>
      <c r="D23" s="218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19" t="s">
        <v>140</v>
      </c>
      <c r="C24" s="219"/>
      <c r="D24" s="219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4.5" customHeight="1" thickTop="1" thickBot="1" x14ac:dyDescent="0.35">
      <c r="A25" s="200" t="s">
        <v>185</v>
      </c>
      <c r="B25" s="200"/>
      <c r="C25" s="200"/>
      <c r="D25" s="200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0" t="s">
        <v>152</v>
      </c>
      <c r="C26" s="220"/>
      <c r="D26" s="221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193" t="s">
        <v>33</v>
      </c>
      <c r="C27" s="193"/>
      <c r="D27" s="194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193" t="s">
        <v>17</v>
      </c>
      <c r="C28" s="193"/>
      <c r="D28" s="194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193" t="s">
        <v>21</v>
      </c>
      <c r="C29" s="193"/>
      <c r="D29" s="194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193" t="s">
        <v>81</v>
      </c>
      <c r="C30" s="193"/>
      <c r="D30" s="194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193" t="s">
        <v>22</v>
      </c>
      <c r="C31" s="193"/>
      <c r="D31" s="194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9" t="s">
        <v>24</v>
      </c>
      <c r="B32" s="175" t="s">
        <v>184</v>
      </c>
      <c r="C32" s="145"/>
      <c r="D32" s="154">
        <v>3990</v>
      </c>
      <c r="E32" s="155">
        <f>IF(E26-(E27+E28+E29+E30+E31)&gt;=B3737,MAX(MIN(E26,E24-D34)-MAX(0,E24-D32),0),0)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25" t="s">
        <v>153</v>
      </c>
      <c r="C33" s="225"/>
      <c r="D33" s="226"/>
      <c r="E33" s="38">
        <f>IF((E26)-(E27+E28+E29+E30+E31+E32)&gt;0,(E26)-(E27+E28+E29+E30+E31+E32),0)</f>
        <v>0</v>
      </c>
    </row>
    <row r="34" spans="1:5" ht="15.75" customHeight="1" x14ac:dyDescent="0.3">
      <c r="A34" s="23"/>
      <c r="B34" s="51" t="s">
        <v>154</v>
      </c>
      <c r="C34" s="51" t="s">
        <v>177</v>
      </c>
      <c r="D34" s="174">
        <v>3325</v>
      </c>
      <c r="E34" s="73" t="str">
        <f>IF((E23+E24)&gt;0,IF(E33&gt;D34,"Ineligible","Eligible")," Ineligible")</f>
        <v xml:space="preserve"> Ineligible</v>
      </c>
    </row>
    <row r="35" spans="1:5" ht="43.05" customHeight="1" thickBot="1" x14ac:dyDescent="0.35">
      <c r="A35" s="207" t="s">
        <v>175</v>
      </c>
      <c r="B35" s="207"/>
      <c r="C35" s="207"/>
      <c r="D35" s="207"/>
      <c r="E35" s="42"/>
    </row>
    <row r="36" spans="1:5" ht="37.5" customHeight="1" thickTop="1" x14ac:dyDescent="0.3">
      <c r="A36" s="15"/>
      <c r="B36" s="227" t="s">
        <v>180</v>
      </c>
      <c r="C36" s="227"/>
      <c r="D36" s="227"/>
      <c r="E36" s="227"/>
    </row>
    <row r="37" spans="1:5" ht="24.45" customHeight="1" x14ac:dyDescent="0.3">
      <c r="A37" s="15"/>
      <c r="B37" s="177">
        <v>3325</v>
      </c>
      <c r="C37" s="78" t="s">
        <v>187</v>
      </c>
      <c r="D37" s="81" t="s">
        <v>28</v>
      </c>
      <c r="E37" s="78">
        <v>200</v>
      </c>
    </row>
    <row r="38" spans="1:5" ht="24.45" customHeight="1" x14ac:dyDescent="0.3">
      <c r="A38" s="15"/>
      <c r="B38" s="39" t="s">
        <v>194</v>
      </c>
      <c r="C38" s="79">
        <v>3324.99</v>
      </c>
      <c r="D38" s="81" t="s">
        <v>28</v>
      </c>
      <c r="E38" s="78">
        <v>133</v>
      </c>
    </row>
    <row r="39" spans="1:5" s="8" customFormat="1" ht="24.45" customHeight="1" x14ac:dyDescent="0.3">
      <c r="A39" s="15"/>
      <c r="B39" s="39" t="s">
        <v>195</v>
      </c>
      <c r="C39" s="79">
        <v>2659.99</v>
      </c>
      <c r="D39" s="81" t="s">
        <v>28</v>
      </c>
      <c r="E39" s="78">
        <v>80</v>
      </c>
    </row>
    <row r="40" spans="1:5" s="8" customFormat="1" ht="24.45" customHeight="1" x14ac:dyDescent="0.3">
      <c r="A40" s="15"/>
      <c r="B40" s="39" t="s">
        <v>196</v>
      </c>
      <c r="C40" s="79">
        <v>1994.99</v>
      </c>
      <c r="D40" s="81" t="s">
        <v>28</v>
      </c>
      <c r="E40" s="78">
        <v>53</v>
      </c>
    </row>
    <row r="41" spans="1:5" ht="24" customHeight="1" x14ac:dyDescent="0.3">
      <c r="A41" s="15"/>
      <c r="B41" s="74">
        <v>1330</v>
      </c>
      <c r="C41" s="75" t="s">
        <v>85</v>
      </c>
      <c r="D41" s="41" t="s">
        <v>28</v>
      </c>
      <c r="E41" s="40">
        <v>0</v>
      </c>
    </row>
    <row r="42" spans="1:5" ht="35.25" customHeight="1" x14ac:dyDescent="0.3">
      <c r="A42" s="9" t="s">
        <v>26</v>
      </c>
      <c r="B42" s="228" t="s">
        <v>193</v>
      </c>
      <c r="C42" s="228"/>
      <c r="D42" s="229"/>
      <c r="E42" s="14">
        <f>IF((E26)-(E27+E28+E29+E30+E31)&gt;0,(E26)-(E27+E28+E29+E30+E31),0)</f>
        <v>0</v>
      </c>
    </row>
    <row r="43" spans="1:5" ht="17.399999999999999" x14ac:dyDescent="0.3">
      <c r="A43" s="31"/>
      <c r="B43" s="230" t="s">
        <v>29</v>
      </c>
      <c r="C43" s="230"/>
      <c r="D43" s="231"/>
      <c r="E43" s="30" t="str">
        <f>IF(E34="Eligible",IF(E32&gt;0,E37,IF(AND(E42&gt;=3261,E42&lt;=3325),E37,IF(AND(E42&gt;=2660,E42&lt;=3324),E38,IF(AND(E42&gt;=1995,E42&lt;=2659.99),E39,IF(AND(E42&gt;=1330.01,E42&lt;=1994.99),E40,0)))))," ")</f>
        <v xml:space="preserve"> </v>
      </c>
    </row>
    <row r="44" spans="1:5" ht="43.2" customHeight="1" thickBot="1" x14ac:dyDescent="0.35">
      <c r="A44" s="207" t="s">
        <v>37</v>
      </c>
      <c r="B44" s="207"/>
      <c r="C44" s="207"/>
      <c r="D44" s="207"/>
      <c r="E44" s="63">
        <v>0</v>
      </c>
    </row>
    <row r="45" spans="1:5" ht="30.45" customHeight="1" thickTop="1" x14ac:dyDescent="0.3">
      <c r="A45" s="232" t="s">
        <v>127</v>
      </c>
      <c r="B45" s="232"/>
      <c r="C45" s="232"/>
      <c r="D45" s="232"/>
      <c r="E45" s="232"/>
    </row>
    <row r="46" spans="1:5" ht="17.399999999999999" x14ac:dyDescent="0.3">
      <c r="A46" s="10"/>
      <c r="B46" s="233" t="s">
        <v>88</v>
      </c>
      <c r="C46" s="233"/>
      <c r="D46" s="234"/>
      <c r="E46" s="37">
        <f>IF(E24&gt;65,ROUNDDOWN(((E10+E11)-(E12+E13+20))+((E24-65)/2)-D21,0),E20)</f>
        <v>0</v>
      </c>
    </row>
    <row r="47" spans="1:5" ht="43.2" customHeight="1" thickBot="1" x14ac:dyDescent="0.35">
      <c r="A47" s="207" t="s">
        <v>57</v>
      </c>
      <c r="B47" s="207"/>
      <c r="C47" s="207"/>
      <c r="D47" s="207"/>
      <c r="E47" s="207"/>
    </row>
    <row r="48" spans="1:5" ht="16.2" thickTop="1" x14ac:dyDescent="0.3">
      <c r="A48" s="222" t="s">
        <v>60</v>
      </c>
      <c r="B48" s="223"/>
      <c r="C48" s="223"/>
      <c r="D48" s="223"/>
      <c r="E48" s="224"/>
    </row>
    <row r="49" spans="1:5" s="53" customFormat="1" ht="14.7" customHeight="1" x14ac:dyDescent="0.25">
      <c r="A49" s="238" t="s">
        <v>69</v>
      </c>
      <c r="B49" s="239"/>
      <c r="C49" s="239"/>
      <c r="D49" s="240"/>
      <c r="E49" s="52">
        <f>E10+E11</f>
        <v>0</v>
      </c>
    </row>
    <row r="50" spans="1:5" s="53" customFormat="1" ht="14.7" customHeight="1" x14ac:dyDescent="0.25">
      <c r="A50" s="238" t="s">
        <v>61</v>
      </c>
      <c r="B50" s="239"/>
      <c r="C50" s="239"/>
      <c r="D50" s="240"/>
      <c r="E50" s="52">
        <f>0-(E12+E13)</f>
        <v>0</v>
      </c>
    </row>
    <row r="51" spans="1:5" s="53" customFormat="1" ht="14.7" customHeight="1" x14ac:dyDescent="0.25">
      <c r="A51" s="241" t="s">
        <v>62</v>
      </c>
      <c r="B51" s="242"/>
      <c r="C51" s="242"/>
      <c r="D51" s="243"/>
      <c r="E51" s="52">
        <f>0-E20</f>
        <v>0</v>
      </c>
    </row>
    <row r="52" spans="1:5" ht="18" customHeight="1" x14ac:dyDescent="0.3">
      <c r="A52" s="244" t="s">
        <v>63</v>
      </c>
      <c r="B52" s="245"/>
      <c r="C52" s="245"/>
      <c r="D52" s="246"/>
      <c r="E52" s="12">
        <f>E49+E50+E51</f>
        <v>0</v>
      </c>
    </row>
    <row r="53" spans="1:5" ht="19.5" customHeight="1" x14ac:dyDescent="0.3">
      <c r="A53" s="247" t="s">
        <v>68</v>
      </c>
      <c r="B53" s="248"/>
      <c r="C53" s="248"/>
      <c r="D53" s="248"/>
      <c r="E53" s="249"/>
    </row>
    <row r="54" spans="1:5" s="53" customFormat="1" ht="14.7" customHeight="1" x14ac:dyDescent="0.25">
      <c r="A54" s="238" t="s">
        <v>69</v>
      </c>
      <c r="B54" s="239"/>
      <c r="C54" s="239"/>
      <c r="D54" s="240"/>
      <c r="E54" s="52">
        <f>E10+E11</f>
        <v>0</v>
      </c>
    </row>
    <row r="55" spans="1:5" s="53" customFormat="1" ht="14.7" customHeight="1" x14ac:dyDescent="0.25">
      <c r="A55" s="238" t="s">
        <v>61</v>
      </c>
      <c r="B55" s="239"/>
      <c r="C55" s="239"/>
      <c r="D55" s="240"/>
      <c r="E55" s="52">
        <f>0-(E12+E13)</f>
        <v>0</v>
      </c>
    </row>
    <row r="56" spans="1:5" s="53" customFormat="1" ht="14.7" customHeight="1" x14ac:dyDescent="0.25">
      <c r="A56" s="238" t="s">
        <v>64</v>
      </c>
      <c r="B56" s="239"/>
      <c r="C56" s="239"/>
      <c r="D56" s="240"/>
      <c r="E56" s="52">
        <f>E23+E24</f>
        <v>0</v>
      </c>
    </row>
    <row r="57" spans="1:5" s="53" customFormat="1" ht="14.7" customHeight="1" x14ac:dyDescent="0.25">
      <c r="A57" s="241" t="s">
        <v>59</v>
      </c>
      <c r="B57" s="242"/>
      <c r="C57" s="242"/>
      <c r="D57" s="243"/>
      <c r="E57" s="54">
        <f>IF(E34="Eligible",(0-E43), 0)</f>
        <v>0</v>
      </c>
    </row>
    <row r="58" spans="1:5" s="53" customFormat="1" ht="14.7" customHeight="1" x14ac:dyDescent="0.25">
      <c r="A58" s="238" t="s">
        <v>66</v>
      </c>
      <c r="B58" s="239"/>
      <c r="C58" s="239"/>
      <c r="D58" s="240"/>
      <c r="E58" s="54">
        <f>IF(E34="Eligible",0,(0-E46))</f>
        <v>0</v>
      </c>
    </row>
    <row r="59" spans="1:5" ht="18" customHeight="1" x14ac:dyDescent="0.3">
      <c r="A59" s="244" t="s">
        <v>65</v>
      </c>
      <c r="B59" s="245"/>
      <c r="C59" s="245"/>
      <c r="D59" s="246"/>
      <c r="E59" s="12">
        <f>(E10+E11)-(E12+E13)+E56+E57+E58</f>
        <v>0</v>
      </c>
    </row>
    <row r="60" spans="1:5" ht="21.45" customHeight="1" x14ac:dyDescent="0.3">
      <c r="A60" s="235" t="s">
        <v>70</v>
      </c>
      <c r="B60" s="236"/>
      <c r="C60" s="236"/>
      <c r="D60" s="237"/>
      <c r="E60" s="55">
        <f>E59-E52</f>
        <v>0</v>
      </c>
    </row>
  </sheetData>
  <sheetProtection sheet="1" selectLockedCells="1"/>
  <mergeCells count="54">
    <mergeCell ref="A60:D60"/>
    <mergeCell ref="A49:D49"/>
    <mergeCell ref="A50:D50"/>
    <mergeCell ref="A51:D51"/>
    <mergeCell ref="A52:D52"/>
    <mergeCell ref="A53:E53"/>
    <mergeCell ref="A54:D54"/>
    <mergeCell ref="A55:D55"/>
    <mergeCell ref="A56:D56"/>
    <mergeCell ref="A57:D57"/>
    <mergeCell ref="A58:D58"/>
    <mergeCell ref="A59:D59"/>
    <mergeCell ref="A48:E48"/>
    <mergeCell ref="B30:D30"/>
    <mergeCell ref="B31:D31"/>
    <mergeCell ref="B33:D33"/>
    <mergeCell ref="A35:D35"/>
    <mergeCell ref="B36:E36"/>
    <mergeCell ref="B42:D42"/>
    <mergeCell ref="B43:D43"/>
    <mergeCell ref="A44:D44"/>
    <mergeCell ref="A45:E45"/>
    <mergeCell ref="B46:D46"/>
    <mergeCell ref="A47:E47"/>
    <mergeCell ref="B29:D29"/>
    <mergeCell ref="B18:D18"/>
    <mergeCell ref="B19:B21"/>
    <mergeCell ref="C19:D19"/>
    <mergeCell ref="C20:D20"/>
    <mergeCell ref="A22:D22"/>
    <mergeCell ref="B23:D23"/>
    <mergeCell ref="B24:D24"/>
    <mergeCell ref="A25:D25"/>
    <mergeCell ref="B26:D26"/>
    <mergeCell ref="B27:D27"/>
    <mergeCell ref="B28:D28"/>
    <mergeCell ref="B17:D17"/>
    <mergeCell ref="A6:B6"/>
    <mergeCell ref="C6:D6"/>
    <mergeCell ref="A7:E7"/>
    <mergeCell ref="A8:E8"/>
    <mergeCell ref="A9:D9"/>
    <mergeCell ref="B10:D10"/>
    <mergeCell ref="B11:D11"/>
    <mergeCell ref="B12:D12"/>
    <mergeCell ref="B13:D14"/>
    <mergeCell ref="A15:D15"/>
    <mergeCell ref="B16:D16"/>
    <mergeCell ref="A1:E1"/>
    <mergeCell ref="A2:E2"/>
    <mergeCell ref="A3:E3"/>
    <mergeCell ref="A4:B4"/>
    <mergeCell ref="A5:B5"/>
    <mergeCell ref="C5:D5"/>
  </mergeCells>
  <pageMargins left="0.7" right="0.7" top="0.67" bottom="1" header="0.3" footer="0.3"/>
  <pageSetup orientation="portrait" r:id="rId1"/>
  <headerFooter differentFirst="1">
    <oddHeader xml:space="preserve">&amp;L&amp;10Spend Down or Ticket to Work Health Assurance Calculation for Single Adults
</oddHeader>
    <oddFooter xml:space="preserve">&amp;L&amp;"Calibri,Regular"&amp;8&amp;K000000effective 4/1/26&amp;R&amp;"Calibri,Regular"&amp;8&amp;K000000 Page &amp;P
Revised 3/19/26
</oddFooter>
    <firstHeader>&amp;C&amp;"-,Bold"&amp;18Spend Down or Ticket to Work Health Assurance</firstHeader>
    <firstFooter xml:space="preserve">&amp;L&amp;8effective 4/1/26&amp;R&amp;8 revised 3/19/26
</firstFooter>
  </headerFooter>
  <rowBreaks count="1" manualBreakCount="1">
    <brk id="34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A77"/>
  <sheetViews>
    <sheetView showGridLines="0" view="pageLayout" zoomScaleNormal="110" zoomScaleSheetLayoutView="90" workbookViewId="0">
      <selection activeCell="E11" sqref="E11"/>
    </sheetView>
  </sheetViews>
  <sheetFormatPr defaultColWidth="8.6640625" defaultRowHeight="14.4" x14ac:dyDescent="0.3"/>
  <cols>
    <col min="1" max="1" width="6.33203125" customWidth="1"/>
    <col min="2" max="2" width="21.44140625" customWidth="1"/>
    <col min="3" max="3" width="18.109375" customWidth="1"/>
    <col min="4" max="4" width="26.6640625" customWidth="1"/>
    <col min="5" max="5" width="16.44140625" customWidth="1"/>
  </cols>
  <sheetData>
    <row r="1" spans="1:5" ht="21.75" customHeight="1" thickBot="1" x14ac:dyDescent="0.35">
      <c r="A1" s="250" t="s">
        <v>125</v>
      </c>
      <c r="B1" s="250"/>
      <c r="C1" s="250"/>
      <c r="D1" s="250"/>
      <c r="E1" s="250"/>
    </row>
    <row r="2" spans="1:5" ht="15" customHeight="1" thickTop="1" x14ac:dyDescent="0.3">
      <c r="A2" s="251" t="s">
        <v>121</v>
      </c>
      <c r="B2" s="252"/>
      <c r="C2" s="252"/>
      <c r="D2" s="252"/>
      <c r="E2" s="252"/>
    </row>
    <row r="3" spans="1:5" ht="15.75" customHeight="1" thickBot="1" x14ac:dyDescent="0.35">
      <c r="A3" s="253" t="s">
        <v>67</v>
      </c>
      <c r="B3" s="254"/>
      <c r="C3" s="254"/>
      <c r="D3" s="254"/>
      <c r="E3" s="254"/>
    </row>
    <row r="4" spans="1:5" ht="13.5" customHeight="1" thickTop="1" x14ac:dyDescent="0.3">
      <c r="A4" s="255" t="s">
        <v>87</v>
      </c>
      <c r="B4" s="256"/>
      <c r="C4" s="256"/>
      <c r="D4" s="256"/>
      <c r="E4" s="256"/>
    </row>
    <row r="5" spans="1:5" s="2" customFormat="1" ht="24" customHeight="1" x14ac:dyDescent="0.3">
      <c r="A5" s="191" t="s">
        <v>0</v>
      </c>
      <c r="B5" s="191"/>
      <c r="C5" s="166" t="s">
        <v>67</v>
      </c>
      <c r="D5" s="4"/>
      <c r="E5" s="3"/>
    </row>
    <row r="6" spans="1:5" s="2" customFormat="1" ht="24.75" customHeight="1" x14ac:dyDescent="0.3">
      <c r="A6" s="191" t="s">
        <v>39</v>
      </c>
      <c r="B6" s="191"/>
      <c r="C6" s="192" t="s">
        <v>67</v>
      </c>
      <c r="D6" s="192"/>
      <c r="E6" s="146"/>
    </row>
    <row r="7" spans="1:5" ht="19.5" customHeight="1" x14ac:dyDescent="0.3">
      <c r="A7" s="195" t="s">
        <v>2</v>
      </c>
      <c r="B7" s="195"/>
      <c r="C7" s="196" t="s">
        <v>67</v>
      </c>
      <c r="D7" s="197"/>
      <c r="E7" s="148"/>
    </row>
    <row r="8" spans="1:5" ht="24" customHeight="1" x14ac:dyDescent="0.3">
      <c r="A8" s="198" t="s">
        <v>30</v>
      </c>
      <c r="B8" s="198"/>
      <c r="C8" s="198"/>
      <c r="D8" s="198"/>
      <c r="E8" s="198"/>
    </row>
    <row r="9" spans="1:5" s="8" customFormat="1" ht="18" customHeight="1" thickBot="1" x14ac:dyDescent="0.35">
      <c r="A9" s="199" t="s">
        <v>3</v>
      </c>
      <c r="B9" s="199"/>
      <c r="C9" s="199"/>
      <c r="D9" s="199"/>
      <c r="E9" s="199"/>
    </row>
    <row r="10" spans="1:5" s="8" customFormat="1" ht="36.75" customHeight="1" thickTop="1" thickBot="1" x14ac:dyDescent="0.35">
      <c r="A10" s="200" t="s">
        <v>32</v>
      </c>
      <c r="B10" s="200"/>
      <c r="C10" s="200"/>
      <c r="D10" s="200"/>
      <c r="E10" s="43"/>
    </row>
    <row r="11" spans="1:5" s="8" customFormat="1" ht="18" customHeight="1" thickTop="1" x14ac:dyDescent="0.3">
      <c r="A11" s="44" t="s">
        <v>86</v>
      </c>
      <c r="B11" s="201" t="s">
        <v>51</v>
      </c>
      <c r="C11" s="201"/>
      <c r="D11" s="202"/>
      <c r="E11" s="71">
        <v>0</v>
      </c>
    </row>
    <row r="12" spans="1:5" s="8" customFormat="1" ht="18" customHeight="1" x14ac:dyDescent="0.3">
      <c r="A12" s="44"/>
      <c r="B12" s="201" t="s">
        <v>52</v>
      </c>
      <c r="C12" s="201"/>
      <c r="D12" s="202"/>
      <c r="E12" s="71">
        <v>0</v>
      </c>
    </row>
    <row r="13" spans="1:5" s="8" customFormat="1" ht="18" customHeight="1" x14ac:dyDescent="0.3">
      <c r="A13" s="44" t="s">
        <v>5</v>
      </c>
      <c r="B13" s="201" t="s">
        <v>40</v>
      </c>
      <c r="C13" s="201"/>
      <c r="D13" s="202"/>
      <c r="E13" s="71">
        <v>0</v>
      </c>
    </row>
    <row r="14" spans="1:5" s="8" customFormat="1" ht="16.5" customHeight="1" x14ac:dyDescent="0.3">
      <c r="A14" s="44" t="s">
        <v>6</v>
      </c>
      <c r="B14" s="201" t="s">
        <v>49</v>
      </c>
      <c r="C14" s="201"/>
      <c r="D14" s="202"/>
      <c r="E14" s="71">
        <v>0</v>
      </c>
    </row>
    <row r="15" spans="1:5" s="8" customFormat="1" ht="18" customHeight="1" x14ac:dyDescent="0.3">
      <c r="A15" s="44"/>
      <c r="B15" s="201" t="s">
        <v>50</v>
      </c>
      <c r="C15" s="201"/>
      <c r="D15" s="202"/>
      <c r="E15" s="147">
        <v>0</v>
      </c>
    </row>
    <row r="16" spans="1:5" s="8" customFormat="1" ht="18" customHeight="1" x14ac:dyDescent="0.3">
      <c r="A16" s="44" t="s">
        <v>7</v>
      </c>
      <c r="B16" s="203" t="s">
        <v>82</v>
      </c>
      <c r="C16" s="203"/>
      <c r="D16" s="204"/>
      <c r="E16" s="257">
        <v>0</v>
      </c>
    </row>
    <row r="17" spans="1:105" ht="18" customHeight="1" thickBot="1" x14ac:dyDescent="0.35">
      <c r="A17" s="45"/>
      <c r="B17" s="205"/>
      <c r="C17" s="205"/>
      <c r="D17" s="206"/>
      <c r="E17" s="258"/>
    </row>
    <row r="18" spans="1:105" ht="36.75" customHeight="1" thickTop="1" thickBot="1" x14ac:dyDescent="0.35">
      <c r="A18" s="207" t="s">
        <v>34</v>
      </c>
      <c r="B18" s="207"/>
      <c r="C18" s="207"/>
      <c r="D18" s="207"/>
      <c r="E18" s="26"/>
    </row>
    <row r="19" spans="1:105" ht="19.95" customHeight="1" thickTop="1" x14ac:dyDescent="0.3">
      <c r="A19" s="9" t="s">
        <v>8</v>
      </c>
      <c r="B19" s="208" t="s">
        <v>41</v>
      </c>
      <c r="C19" s="208"/>
      <c r="D19" s="209"/>
      <c r="E19" s="13">
        <f xml:space="preserve"> E11+E12+E13</f>
        <v>0</v>
      </c>
    </row>
    <row r="20" spans="1:105" ht="19.5" customHeight="1" x14ac:dyDescent="0.3">
      <c r="A20" s="9" t="s">
        <v>9</v>
      </c>
      <c r="B20" s="193" t="s">
        <v>33</v>
      </c>
      <c r="C20" s="193"/>
      <c r="D20" s="194"/>
      <c r="E20" s="12">
        <f>IF(E19&gt;0,20,0)</f>
        <v>0</v>
      </c>
    </row>
    <row r="21" spans="1:105" ht="21.75" customHeight="1" x14ac:dyDescent="0.3">
      <c r="A21" s="9" t="s">
        <v>10</v>
      </c>
      <c r="B21" s="193" t="s">
        <v>79</v>
      </c>
      <c r="C21" s="193"/>
      <c r="D21" s="194"/>
      <c r="E21" s="16">
        <f>IF(E19&gt;0,IF((E19-(E14+E15+E16+E20))&gt;0,E19-(E14+E15+E16+E20),0),0)</f>
        <v>0</v>
      </c>
    </row>
    <row r="22" spans="1:105" ht="21.75" customHeight="1" x14ac:dyDescent="0.3">
      <c r="A22" s="33"/>
      <c r="B22" s="210" t="s">
        <v>67</v>
      </c>
      <c r="C22" s="213" t="s">
        <v>36</v>
      </c>
      <c r="D22" s="214"/>
      <c r="E22" s="18">
        <f>ROUNDDOWN(IF(E21-D24&gt;0,E21-D24,0),0)</f>
        <v>0</v>
      </c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21.75" customHeight="1" thickBot="1" x14ac:dyDescent="0.35">
      <c r="A23" s="151"/>
      <c r="B23" s="211"/>
      <c r="C23" s="259" t="s">
        <v>151</v>
      </c>
      <c r="D23" s="260"/>
      <c r="E23" s="156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4.25" customHeight="1" thickTop="1" thickBot="1" x14ac:dyDescent="0.35">
      <c r="A24" s="32"/>
      <c r="B24" s="212"/>
      <c r="C24" s="149" t="s">
        <v>67</v>
      </c>
      <c r="D24" s="157">
        <v>1553</v>
      </c>
      <c r="E24" s="17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ht="38.25" customHeight="1" thickTop="1" thickBot="1" x14ac:dyDescent="0.35">
      <c r="A25" s="200" t="s">
        <v>35</v>
      </c>
      <c r="B25" s="200"/>
      <c r="C25" s="200"/>
      <c r="D25" s="200"/>
      <c r="E25" s="43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ht="21.75" customHeight="1" thickTop="1" x14ac:dyDescent="0.3">
      <c r="A26" s="34" t="s">
        <v>11</v>
      </c>
      <c r="B26" s="217" t="s">
        <v>144</v>
      </c>
      <c r="C26" s="217"/>
      <c r="D26" s="218"/>
      <c r="E26" s="71"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ht="21.75" customHeight="1" x14ac:dyDescent="0.3">
      <c r="A27" s="46"/>
      <c r="B27" s="219" t="s">
        <v>145</v>
      </c>
      <c r="C27" s="219"/>
      <c r="D27" s="261"/>
      <c r="E27" s="71"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24.75" customHeight="1" x14ac:dyDescent="0.3">
      <c r="A28" s="6" t="s">
        <v>12</v>
      </c>
      <c r="B28" s="219" t="s">
        <v>142</v>
      </c>
      <c r="C28" s="219"/>
      <c r="D28" s="219"/>
      <c r="E28" s="71"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25.5" customHeight="1" thickBot="1" x14ac:dyDescent="0.35">
      <c r="A29" s="47"/>
      <c r="B29" s="262" t="s">
        <v>143</v>
      </c>
      <c r="C29" s="262"/>
      <c r="D29" s="262"/>
      <c r="E29" s="72"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28.95" customHeight="1" thickTop="1" thickBot="1" x14ac:dyDescent="0.35">
      <c r="A30" s="207" t="s">
        <v>185</v>
      </c>
      <c r="B30" s="207"/>
      <c r="C30" s="207"/>
      <c r="D30" s="207"/>
      <c r="E30" s="42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8" customHeight="1" thickTop="1" x14ac:dyDescent="0.3">
      <c r="A31" s="9" t="s">
        <v>13</v>
      </c>
      <c r="B31" s="220" t="s">
        <v>152</v>
      </c>
      <c r="C31" s="220"/>
      <c r="D31" s="221"/>
      <c r="E31" s="13">
        <f>IF((E26 +E27+E28+E29)&gt;0,E11+E12+E13+E28+E29,0)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" customHeight="1" x14ac:dyDescent="0.3">
      <c r="A32" s="9" t="s">
        <v>14</v>
      </c>
      <c r="B32" s="193" t="s">
        <v>33</v>
      </c>
      <c r="C32" s="193"/>
      <c r="D32" s="194"/>
      <c r="E32" s="12">
        <f>IF(SUM(E26:E29)&gt;0,20,0)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105" s="1" customFormat="1" ht="16.5" customHeight="1" x14ac:dyDescent="0.3">
      <c r="A33" s="9" t="s">
        <v>18</v>
      </c>
      <c r="B33" s="193" t="s">
        <v>53</v>
      </c>
      <c r="C33" s="193"/>
      <c r="D33" s="194"/>
      <c r="E33" s="12">
        <f>IF((E26+E28)=0,0,(IF(E11&gt;50,50,E11)))</f>
        <v>0</v>
      </c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</row>
    <row r="34" spans="1:105" s="1" customFormat="1" ht="16.5" customHeight="1" x14ac:dyDescent="0.3">
      <c r="A34" s="9"/>
      <c r="B34" s="193" t="s">
        <v>55</v>
      </c>
      <c r="C34" s="193"/>
      <c r="D34" s="194"/>
      <c r="E34" s="13">
        <f>IF((E27+E29)=0,0,(IF(E12&gt;50,50,E12)))</f>
        <v>0</v>
      </c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</row>
    <row r="35" spans="1:105" s="1" customFormat="1" ht="18" customHeight="1" x14ac:dyDescent="0.3">
      <c r="A35" s="9" t="s">
        <v>19</v>
      </c>
      <c r="B35" s="193" t="s">
        <v>54</v>
      </c>
      <c r="C35" s="193"/>
      <c r="D35" s="194"/>
      <c r="E35" s="12">
        <f>IF(E26+E28=0,E14,(IF(E14&gt;75,E14,IF(E14&gt;0,75,0))))</f>
        <v>0</v>
      </c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</row>
    <row r="36" spans="1:105" s="1" customFormat="1" ht="20.25" customHeight="1" x14ac:dyDescent="0.3">
      <c r="A36" s="9"/>
      <c r="B36" s="193" t="s">
        <v>56</v>
      </c>
      <c r="C36" s="193"/>
      <c r="D36" s="194"/>
      <c r="E36" s="12">
        <f>IF(E27+E29=0,E15,(IF(E15&gt;75,E15,IF(E15&gt;0,75,0))))</f>
        <v>0</v>
      </c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</row>
    <row r="37" spans="1:105" s="1" customFormat="1" ht="20.25" customHeight="1" x14ac:dyDescent="0.3">
      <c r="A37" s="9" t="s">
        <v>20</v>
      </c>
      <c r="B37" s="193" t="s">
        <v>81</v>
      </c>
      <c r="C37" s="193"/>
      <c r="D37" s="194"/>
      <c r="E37" s="12">
        <f>E16</f>
        <v>0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</row>
    <row r="38" spans="1:105" ht="18" customHeight="1" x14ac:dyDescent="0.3">
      <c r="A38" s="9" t="s">
        <v>23</v>
      </c>
      <c r="B38" s="193" t="s">
        <v>22</v>
      </c>
      <c r="C38" s="193"/>
      <c r="D38" s="194"/>
      <c r="E38" s="12">
        <f>IF(E26+E27+E28+E29&gt;0,(E26+E27+E28+E29)/2,0)</f>
        <v>0</v>
      </c>
    </row>
    <row r="39" spans="1:105" ht="27" customHeight="1" x14ac:dyDescent="0.3">
      <c r="A39" s="21" t="s">
        <v>24</v>
      </c>
      <c r="B39" s="265" t="s">
        <v>178</v>
      </c>
      <c r="C39" s="265"/>
      <c r="D39" s="154">
        <v>5410</v>
      </c>
      <c r="E39" s="155">
        <f>IF(E31-(E32+E33+E34+E35+E36+E37+E38)&gt;=B47,MAX(MIN(E31,E28+E29-D42)-MAX(0,E28+E29-D39),0),0)</f>
        <v>0</v>
      </c>
    </row>
    <row r="40" spans="1:105" ht="15.75" customHeight="1" x14ac:dyDescent="0.3">
      <c r="A40" s="23"/>
      <c r="B40" s="51"/>
      <c r="C40" s="19"/>
      <c r="D40" s="20"/>
      <c r="E40" s="22"/>
    </row>
    <row r="41" spans="1:105" ht="15.75" customHeight="1" x14ac:dyDescent="0.3">
      <c r="A41" s="35" t="s">
        <v>25</v>
      </c>
      <c r="B41" s="225" t="s">
        <v>153</v>
      </c>
      <c r="C41" s="225"/>
      <c r="D41" s="226"/>
      <c r="E41" s="38">
        <f>IF((E31)-(E32+E33+E34+E35+E36+E37+E38+E39)&gt;0,(E31)-(E32+E33+E34+E35+E36+E37+E38+E39),0)</f>
        <v>0</v>
      </c>
    </row>
    <row r="42" spans="1:105" ht="24.75" customHeight="1" x14ac:dyDescent="0.3">
      <c r="A42" s="23"/>
      <c r="B42" s="51" t="s">
        <v>154</v>
      </c>
      <c r="C42" s="51" t="s">
        <v>177</v>
      </c>
      <c r="D42" s="174">
        <v>4509</v>
      </c>
      <c r="E42" s="73" t="str">
        <f>IF((E26+E27+E28+E29)&gt;0,IF(E41&gt;D42,"Ineligible","Eligible")," Ineligible")</f>
        <v xml:space="preserve"> Ineligible</v>
      </c>
    </row>
    <row r="43" spans="1:105" ht="21.75" customHeight="1" thickBot="1" x14ac:dyDescent="0.35">
      <c r="A43" s="29"/>
      <c r="B43" s="263" t="s">
        <v>42</v>
      </c>
      <c r="C43" s="263"/>
      <c r="D43" s="264"/>
      <c r="E43" s="25" t="str">
        <f>IF(E42="Eligible",(IF(E26+E28&gt;0,"Eligible","Ineligible")),"Ineligible")</f>
        <v>Ineligible</v>
      </c>
    </row>
    <row r="44" spans="1:105" ht="22.5" customHeight="1" thickTop="1" thickBot="1" x14ac:dyDescent="0.35">
      <c r="A44" s="29"/>
      <c r="B44" s="263" t="s">
        <v>43</v>
      </c>
      <c r="C44" s="263"/>
      <c r="D44" s="264"/>
      <c r="E44" s="25" t="str">
        <f>IF(E42="Eligible",(IF(E27+E29&gt;0,"Eligible","Ineligible")),"Ineligible")</f>
        <v>Ineligible</v>
      </c>
    </row>
    <row r="45" spans="1:105" ht="31.5" customHeight="1" thickTop="1" thickBot="1" x14ac:dyDescent="0.35">
      <c r="A45" s="207" t="s">
        <v>175</v>
      </c>
      <c r="B45" s="207"/>
      <c r="C45" s="207"/>
      <c r="D45" s="207"/>
      <c r="E45" s="42"/>
    </row>
    <row r="46" spans="1:105" ht="42" customHeight="1" thickTop="1" x14ac:dyDescent="0.3">
      <c r="A46" s="15"/>
      <c r="B46" s="267" t="s">
        <v>183</v>
      </c>
      <c r="C46" s="267"/>
      <c r="D46" s="267"/>
      <c r="E46" s="267"/>
    </row>
    <row r="47" spans="1:105" s="8" customFormat="1" ht="17.25" customHeight="1" x14ac:dyDescent="0.3">
      <c r="A47" s="15"/>
      <c r="B47" s="176">
        <f>D42</f>
        <v>4509</v>
      </c>
      <c r="C47" s="80" t="s">
        <v>187</v>
      </c>
      <c r="D47" s="81" t="s">
        <v>28</v>
      </c>
      <c r="E47" s="78">
        <v>271</v>
      </c>
    </row>
    <row r="48" spans="1:105" s="8" customFormat="1" ht="17.25" customHeight="1" x14ac:dyDescent="0.3">
      <c r="A48" s="15"/>
      <c r="B48" s="137" t="s">
        <v>189</v>
      </c>
      <c r="C48" s="139">
        <v>4508.99</v>
      </c>
      <c r="D48" s="81" t="s">
        <v>28</v>
      </c>
      <c r="E48" s="78">
        <v>180</v>
      </c>
    </row>
    <row r="49" spans="1:5" ht="17.25" customHeight="1" x14ac:dyDescent="0.3">
      <c r="A49" s="15"/>
      <c r="B49" s="137" t="s">
        <v>188</v>
      </c>
      <c r="C49" s="139">
        <v>3606.99</v>
      </c>
      <c r="D49" s="81" t="s">
        <v>28</v>
      </c>
      <c r="E49" s="78">
        <v>108</v>
      </c>
    </row>
    <row r="50" spans="1:5" ht="16.8" x14ac:dyDescent="0.3">
      <c r="A50" s="15"/>
      <c r="B50" s="137" t="s">
        <v>190</v>
      </c>
      <c r="C50" s="139">
        <v>2704.99</v>
      </c>
      <c r="D50" s="81" t="s">
        <v>28</v>
      </c>
      <c r="E50" s="78">
        <v>72</v>
      </c>
    </row>
    <row r="51" spans="1:5" ht="16.8" x14ac:dyDescent="0.3">
      <c r="A51" s="15"/>
      <c r="B51" s="134">
        <v>1804</v>
      </c>
      <c r="C51" s="135" t="s">
        <v>85</v>
      </c>
      <c r="D51" s="136" t="s">
        <v>28</v>
      </c>
      <c r="E51" s="80">
        <v>0</v>
      </c>
    </row>
    <row r="52" spans="1:5" ht="16.8" x14ac:dyDescent="0.3">
      <c r="A52" s="15"/>
      <c r="B52" s="76" t="s">
        <v>67</v>
      </c>
      <c r="C52" s="77"/>
      <c r="D52" s="77"/>
      <c r="E52" s="48"/>
    </row>
    <row r="53" spans="1:5" ht="27.75" customHeight="1" x14ac:dyDescent="0.3">
      <c r="A53" s="9" t="s">
        <v>26</v>
      </c>
      <c r="B53" s="228" t="s">
        <v>186</v>
      </c>
      <c r="C53" s="228"/>
      <c r="D53" s="229"/>
      <c r="E53" s="14">
        <f>E31-(E32+E33+E34+E35+E36+E37+E38)</f>
        <v>0</v>
      </c>
    </row>
    <row r="54" spans="1:5" ht="25.5" customHeight="1" x14ac:dyDescent="0.3">
      <c r="A54" s="31"/>
      <c r="B54" s="230" t="s">
        <v>29</v>
      </c>
      <c r="C54" s="230"/>
      <c r="D54" s="231"/>
      <c r="E54" s="30" t="str">
        <f>IF(E42="Eligible",IF(E39&gt;0,E47,IF(AND(E53&gt;=4509,E53=4509),E47,IF(AND(E53&gt;=33607,E53&lt;=4508.99),E48,IF(AND(E53&gt;=2705,E53&lt;=3606.99),E49,IF(AND(E53&gt;=1804.01,E53&lt;=2704.99),E50,0)))))," ")</f>
        <v xml:space="preserve"> </v>
      </c>
    </row>
    <row r="55" spans="1:5" ht="28.5" customHeight="1" thickBot="1" x14ac:dyDescent="0.35">
      <c r="A55" s="207" t="s">
        <v>37</v>
      </c>
      <c r="B55" s="207"/>
      <c r="C55" s="207"/>
      <c r="D55" s="207"/>
      <c r="E55" s="26"/>
    </row>
    <row r="56" spans="1:5" ht="34.5" customHeight="1" thickTop="1" x14ac:dyDescent="0.3">
      <c r="A56" s="232" t="s">
        <v>126</v>
      </c>
      <c r="B56" s="232"/>
      <c r="C56" s="232"/>
      <c r="D56" s="232"/>
      <c r="E56" s="232"/>
    </row>
    <row r="57" spans="1:5" ht="17.399999999999999" x14ac:dyDescent="0.3">
      <c r="A57" s="10"/>
      <c r="B57" s="233" t="s">
        <v>88</v>
      </c>
      <c r="C57" s="233"/>
      <c r="D57" s="234"/>
      <c r="E57" s="37">
        <f>IF(E28+E29&gt;65,ROUNDDOWN(((E11+E12+E13)-(E14+E15+E16+E32))+((E28+E29-65)/2)-D24,0),E22)</f>
        <v>0</v>
      </c>
    </row>
    <row r="64" spans="1:5" ht="17.399999999999999" thickBot="1" x14ac:dyDescent="0.35">
      <c r="A64" s="207" t="s">
        <v>57</v>
      </c>
      <c r="B64" s="207"/>
      <c r="C64" s="207"/>
      <c r="D64" s="207"/>
      <c r="E64" s="207"/>
    </row>
    <row r="65" spans="1:5" ht="21.45" customHeight="1" thickTop="1" x14ac:dyDescent="0.3">
      <c r="A65" s="268" t="s">
        <v>60</v>
      </c>
      <c r="B65" s="268"/>
      <c r="C65" s="268"/>
      <c r="D65" s="268"/>
      <c r="E65" s="268"/>
    </row>
    <row r="66" spans="1:5" s="53" customFormat="1" ht="12" x14ac:dyDescent="0.25">
      <c r="A66" s="238" t="s">
        <v>58</v>
      </c>
      <c r="B66" s="239"/>
      <c r="C66" s="239"/>
      <c r="D66" s="240"/>
      <c r="E66" s="52">
        <f>E19</f>
        <v>0</v>
      </c>
    </row>
    <row r="67" spans="1:5" s="53" customFormat="1" ht="12" x14ac:dyDescent="0.25">
      <c r="A67" s="238" t="s">
        <v>61</v>
      </c>
      <c r="B67" s="239"/>
      <c r="C67" s="239"/>
      <c r="D67" s="240"/>
      <c r="E67" s="52">
        <f>0-(E14+E15+E16)</f>
        <v>0</v>
      </c>
    </row>
    <row r="68" spans="1:5" s="53" customFormat="1" ht="12" x14ac:dyDescent="0.25">
      <c r="A68" s="56"/>
      <c r="B68" s="57" t="s">
        <v>62</v>
      </c>
      <c r="C68" s="58"/>
      <c r="D68" s="59"/>
      <c r="E68" s="52">
        <f>0-E22</f>
        <v>0</v>
      </c>
    </row>
    <row r="69" spans="1:5" ht="15" x14ac:dyDescent="0.3">
      <c r="A69" s="269" t="s">
        <v>63</v>
      </c>
      <c r="B69" s="270"/>
      <c r="C69" s="270"/>
      <c r="D69" s="271"/>
      <c r="E69" s="14">
        <f>E66+E67+E68</f>
        <v>0</v>
      </c>
    </row>
    <row r="70" spans="1:5" ht="21.45" customHeight="1" x14ac:dyDescent="0.3">
      <c r="A70" s="266" t="s">
        <v>68</v>
      </c>
      <c r="B70" s="266"/>
      <c r="C70" s="266"/>
      <c r="D70" s="266"/>
      <c r="E70" s="266"/>
    </row>
    <row r="71" spans="1:5" s="53" customFormat="1" ht="12" x14ac:dyDescent="0.25">
      <c r="A71" s="238" t="s">
        <v>58</v>
      </c>
      <c r="B71" s="239"/>
      <c r="C71" s="239"/>
      <c r="D71" s="240"/>
      <c r="E71" s="52">
        <f>E19</f>
        <v>0</v>
      </c>
    </row>
    <row r="72" spans="1:5" s="53" customFormat="1" ht="12" x14ac:dyDescent="0.25">
      <c r="A72" s="238" t="s">
        <v>61</v>
      </c>
      <c r="B72" s="239"/>
      <c r="C72" s="239"/>
      <c r="D72" s="240"/>
      <c r="E72" s="52">
        <f>0-(E14+E15+E16)</f>
        <v>0</v>
      </c>
    </row>
    <row r="73" spans="1:5" s="53" customFormat="1" ht="12" x14ac:dyDescent="0.25">
      <c r="A73" s="238" t="s">
        <v>64</v>
      </c>
      <c r="B73" s="239"/>
      <c r="C73" s="239"/>
      <c r="D73" s="240"/>
      <c r="E73" s="52">
        <f>E26+E27+E28+E29</f>
        <v>0</v>
      </c>
    </row>
    <row r="74" spans="1:5" s="53" customFormat="1" ht="12" x14ac:dyDescent="0.25">
      <c r="A74" s="241" t="s">
        <v>59</v>
      </c>
      <c r="B74" s="242"/>
      <c r="C74" s="242"/>
      <c r="D74" s="243"/>
      <c r="E74" s="54">
        <f>IF(E54=" ",0,0-E54)</f>
        <v>0</v>
      </c>
    </row>
    <row r="75" spans="1:5" s="53" customFormat="1" ht="12" x14ac:dyDescent="0.25">
      <c r="A75" s="238" t="s">
        <v>66</v>
      </c>
      <c r="B75" s="239"/>
      <c r="C75" s="239"/>
      <c r="D75" s="240"/>
      <c r="E75" s="54">
        <f>IF(AND(E43="eligible",E44="eligible"),0,(IF(AND(E43="Eligible",E44="eligible"),0,0-E57)))</f>
        <v>0</v>
      </c>
    </row>
    <row r="76" spans="1:5" ht="15" x14ac:dyDescent="0.3">
      <c r="A76" s="244" t="s">
        <v>65</v>
      </c>
      <c r="B76" s="245"/>
      <c r="C76" s="245"/>
      <c r="D76" s="246"/>
      <c r="E76" s="12">
        <f>E70+E72+E71+E73+E74+E75</f>
        <v>0</v>
      </c>
    </row>
    <row r="77" spans="1:5" ht="28.95" customHeight="1" x14ac:dyDescent="0.3">
      <c r="A77" s="272" t="s">
        <v>70</v>
      </c>
      <c r="B77" s="273"/>
      <c r="C77" s="273"/>
      <c r="D77" s="274"/>
      <c r="E77" s="38">
        <f>E76-E69</f>
        <v>0</v>
      </c>
    </row>
  </sheetData>
  <sheetProtection sheet="1" selectLockedCells="1"/>
  <mergeCells count="64">
    <mergeCell ref="A77:D77"/>
    <mergeCell ref="A71:D71"/>
    <mergeCell ref="A72:D72"/>
    <mergeCell ref="A73:D73"/>
    <mergeCell ref="A74:D74"/>
    <mergeCell ref="A75:D75"/>
    <mergeCell ref="A76:D76"/>
    <mergeCell ref="A70:E70"/>
    <mergeCell ref="B46:E46"/>
    <mergeCell ref="B53:D53"/>
    <mergeCell ref="B54:D54"/>
    <mergeCell ref="A55:D55"/>
    <mergeCell ref="A56:E56"/>
    <mergeCell ref="B57:D57"/>
    <mergeCell ref="A64:E64"/>
    <mergeCell ref="A65:E65"/>
    <mergeCell ref="A66:D66"/>
    <mergeCell ref="A67:D67"/>
    <mergeCell ref="A69:D69"/>
    <mergeCell ref="A45:D45"/>
    <mergeCell ref="B31:D31"/>
    <mergeCell ref="B32:D32"/>
    <mergeCell ref="B33:D33"/>
    <mergeCell ref="B34:D34"/>
    <mergeCell ref="B35:D35"/>
    <mergeCell ref="B36:D36"/>
    <mergeCell ref="B37:D37"/>
    <mergeCell ref="B38:D38"/>
    <mergeCell ref="B41:D41"/>
    <mergeCell ref="B43:D43"/>
    <mergeCell ref="B44:D44"/>
    <mergeCell ref="B39:C39"/>
    <mergeCell ref="A30:D30"/>
    <mergeCell ref="A18:D18"/>
    <mergeCell ref="B19:D19"/>
    <mergeCell ref="B20:D20"/>
    <mergeCell ref="B21:D21"/>
    <mergeCell ref="B22:B24"/>
    <mergeCell ref="C22:D22"/>
    <mergeCell ref="C23:D23"/>
    <mergeCell ref="A25:D25"/>
    <mergeCell ref="B26:D26"/>
    <mergeCell ref="B27:D27"/>
    <mergeCell ref="B28:D28"/>
    <mergeCell ref="B29:D29"/>
    <mergeCell ref="E16:E17"/>
    <mergeCell ref="A7:B7"/>
    <mergeCell ref="C7:D7"/>
    <mergeCell ref="A8:E8"/>
    <mergeCell ref="A9:E9"/>
    <mergeCell ref="A10:D10"/>
    <mergeCell ref="B11:D11"/>
    <mergeCell ref="B12:D12"/>
    <mergeCell ref="B13:D13"/>
    <mergeCell ref="B14:D14"/>
    <mergeCell ref="B15:D15"/>
    <mergeCell ref="B16:D17"/>
    <mergeCell ref="A6:B6"/>
    <mergeCell ref="C6:D6"/>
    <mergeCell ref="A1:E1"/>
    <mergeCell ref="A2:E2"/>
    <mergeCell ref="A3:E3"/>
    <mergeCell ref="A4:E4"/>
    <mergeCell ref="A5:B5"/>
  </mergeCells>
  <pageMargins left="0.25" right="0.25" top="0.67" bottom="1" header="0.3" footer="0.3"/>
  <pageSetup orientation="portrait" r:id="rId1"/>
  <headerFooter differentFirst="1">
    <oddHeader xml:space="preserve">&amp;L&amp;"-,Italic"&amp;9Spend Down or Ticket to Work Health Assurance Calculation for Couples, both disabled
</oddHeader>
    <oddFooter>&amp;L&amp;8Effective 4/1/26&amp;R&amp;"Calibri,Regular"&amp;K000000 Page &amp;P
&amp;8Revised 3/19/26</oddFooter>
    <firstHeader>&amp;C&amp;"-,Bold"&amp;18Spend Down or Ticket to Work Health Assurance</firstHeader>
    <firstFooter xml:space="preserve">&amp;L&amp;8effective 4/1/26&amp;R&amp;8Revised 3/19/26
 </firstFooter>
  </headerFooter>
  <rowBreaks count="1" manualBreakCount="1">
    <brk id="2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68"/>
  <sheetViews>
    <sheetView showGridLines="0" view="pageLayout" workbookViewId="0">
      <selection activeCell="E11" sqref="E11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75" t="s">
        <v>123</v>
      </c>
      <c r="B1" s="275"/>
      <c r="C1" s="275"/>
      <c r="D1" s="275"/>
      <c r="E1" s="275"/>
    </row>
    <row r="2" spans="1:5" ht="15.75" customHeight="1" thickTop="1" thickBot="1" x14ac:dyDescent="0.35">
      <c r="A2" s="251" t="s">
        <v>162</v>
      </c>
      <c r="B2" s="251"/>
      <c r="C2" s="251"/>
      <c r="D2" s="251"/>
      <c r="E2" s="251"/>
    </row>
    <row r="3" spans="1:5" ht="15" customHeight="1" thickTop="1" x14ac:dyDescent="0.3">
      <c r="A3" s="276" t="s">
        <v>87</v>
      </c>
      <c r="B3" s="277"/>
      <c r="C3" s="277"/>
      <c r="D3" s="277"/>
      <c r="E3" s="277"/>
    </row>
    <row r="4" spans="1:5" ht="18" customHeight="1" x14ac:dyDescent="0.3">
      <c r="A4" s="191" t="s">
        <v>0</v>
      </c>
      <c r="B4" s="191"/>
      <c r="C4" s="166" t="s">
        <v>67</v>
      </c>
      <c r="D4" s="278"/>
      <c r="E4" s="278"/>
    </row>
    <row r="5" spans="1:5" ht="21.45" customHeight="1" x14ac:dyDescent="0.3">
      <c r="A5" s="191" t="s">
        <v>39</v>
      </c>
      <c r="B5" s="191"/>
      <c r="C5" s="192" t="s">
        <v>67</v>
      </c>
      <c r="D5" s="192"/>
      <c r="E5" s="146"/>
    </row>
    <row r="6" spans="1:5" ht="21.45" customHeight="1" x14ac:dyDescent="0.3">
      <c r="A6" s="195" t="s">
        <v>2</v>
      </c>
      <c r="B6" s="195"/>
      <c r="C6" s="196" t="s">
        <v>67</v>
      </c>
      <c r="D6" s="197"/>
      <c r="E6" s="148"/>
    </row>
    <row r="7" spans="1:5" ht="15.75" customHeight="1" x14ac:dyDescent="0.3">
      <c r="A7" s="198" t="s">
        <v>30</v>
      </c>
      <c r="B7" s="198"/>
      <c r="C7" s="198"/>
      <c r="D7" s="198"/>
      <c r="E7" s="198"/>
    </row>
    <row r="8" spans="1:5" ht="18.75" customHeight="1" thickBot="1" x14ac:dyDescent="0.35">
      <c r="A8" s="199" t="s">
        <v>3</v>
      </c>
      <c r="B8" s="199"/>
      <c r="C8" s="199"/>
      <c r="D8" s="199"/>
      <c r="E8" s="199"/>
    </row>
    <row r="9" spans="1:5" ht="28.95" customHeight="1" thickTop="1" thickBot="1" x14ac:dyDescent="0.35">
      <c r="A9" s="200" t="s">
        <v>32</v>
      </c>
      <c r="B9" s="200"/>
      <c r="C9" s="200"/>
      <c r="D9" s="200"/>
      <c r="E9" s="43"/>
    </row>
    <row r="10" spans="1:5" ht="15.6" thickTop="1" x14ac:dyDescent="0.3">
      <c r="A10" s="7" t="s">
        <v>4</v>
      </c>
      <c r="B10" s="201" t="s">
        <v>44</v>
      </c>
      <c r="C10" s="201"/>
      <c r="D10" s="202"/>
      <c r="E10" s="68">
        <v>0</v>
      </c>
    </row>
    <row r="11" spans="1:5" ht="15" x14ac:dyDescent="0.3">
      <c r="A11" s="7" t="s">
        <v>5</v>
      </c>
      <c r="B11" s="201" t="s">
        <v>40</v>
      </c>
      <c r="C11" s="201"/>
      <c r="D11" s="202"/>
      <c r="E11" s="68">
        <v>0</v>
      </c>
    </row>
    <row r="12" spans="1:5" ht="15" x14ac:dyDescent="0.3">
      <c r="A12" s="7" t="s">
        <v>6</v>
      </c>
      <c r="B12" s="201" t="s">
        <v>45</v>
      </c>
      <c r="C12" s="201"/>
      <c r="D12" s="202"/>
      <c r="E12" s="68">
        <v>0</v>
      </c>
    </row>
    <row r="13" spans="1:5" ht="15" customHeight="1" x14ac:dyDescent="0.3">
      <c r="A13" s="7" t="s">
        <v>7</v>
      </c>
      <c r="B13" s="201" t="s">
        <v>83</v>
      </c>
      <c r="C13" s="201"/>
      <c r="D13" s="202"/>
      <c r="E13" s="68">
        <v>0</v>
      </c>
    </row>
    <row r="14" spans="1:5" ht="15" x14ac:dyDescent="0.3">
      <c r="A14" s="7" t="s">
        <v>8</v>
      </c>
      <c r="B14" s="279" t="s">
        <v>84</v>
      </c>
      <c r="C14" s="279"/>
      <c r="D14" s="280"/>
      <c r="E14" s="69">
        <v>0</v>
      </c>
    </row>
    <row r="15" spans="1:5" ht="15.6" thickBot="1" x14ac:dyDescent="0.35">
      <c r="A15" s="27"/>
      <c r="B15" s="281"/>
      <c r="C15" s="281"/>
      <c r="D15" s="282"/>
      <c r="E15" s="28" t="s">
        <v>67</v>
      </c>
    </row>
    <row r="16" spans="1:5" ht="18" customHeight="1" thickTop="1" thickBot="1" x14ac:dyDescent="0.35">
      <c r="A16" s="207" t="s">
        <v>34</v>
      </c>
      <c r="B16" s="207"/>
      <c r="C16" s="207"/>
      <c r="D16" s="207"/>
      <c r="E16" s="49"/>
    </row>
    <row r="17" spans="1:5" ht="15.6" thickTop="1" x14ac:dyDescent="0.3">
      <c r="A17" s="9" t="s">
        <v>9</v>
      </c>
      <c r="B17" s="208" t="s">
        <v>31</v>
      </c>
      <c r="C17" s="208"/>
      <c r="D17" s="209"/>
      <c r="E17" s="13">
        <f xml:space="preserve"> E10+E11</f>
        <v>0</v>
      </c>
    </row>
    <row r="18" spans="1:5" ht="15" x14ac:dyDescent="0.3">
      <c r="A18" s="9" t="s">
        <v>10</v>
      </c>
      <c r="B18" s="283" t="s">
        <v>77</v>
      </c>
      <c r="C18" s="283"/>
      <c r="D18" s="284"/>
      <c r="E18" s="65">
        <f>IF(E19-E20&gt;0,E19-E20,0)</f>
        <v>0</v>
      </c>
    </row>
    <row r="19" spans="1:5" x14ac:dyDescent="0.3">
      <c r="A19" s="285" t="s">
        <v>76</v>
      </c>
      <c r="B19" s="286"/>
      <c r="C19" s="286"/>
      <c r="D19" s="287"/>
      <c r="E19" s="66">
        <f>E12</f>
        <v>0</v>
      </c>
    </row>
    <row r="20" spans="1:5" x14ac:dyDescent="0.3">
      <c r="A20" s="285" t="s">
        <v>75</v>
      </c>
      <c r="B20" s="286"/>
      <c r="C20" s="286"/>
      <c r="D20" s="287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193" t="s">
        <v>33</v>
      </c>
      <c r="C21" s="193"/>
      <c r="D21" s="194"/>
      <c r="E21" s="12">
        <f>IF(E17+E18&gt;0,20,0)</f>
        <v>0</v>
      </c>
    </row>
    <row r="22" spans="1:5" ht="15.6" x14ac:dyDescent="0.3">
      <c r="A22" s="9" t="s">
        <v>12</v>
      </c>
      <c r="B22" s="193" t="s">
        <v>74</v>
      </c>
      <c r="C22" s="193"/>
      <c r="D22" s="194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0" t="s">
        <v>67</v>
      </c>
      <c r="C23" s="213" t="s">
        <v>36</v>
      </c>
      <c r="D23" s="214"/>
      <c r="E23" s="18">
        <f>ROUNDDOWN(IF(E22-D25&gt;0,E22-D25,0),0)</f>
        <v>0</v>
      </c>
    </row>
    <row r="24" spans="1:5" ht="24" customHeight="1" thickBot="1" x14ac:dyDescent="0.35">
      <c r="A24" s="151"/>
      <c r="B24" s="211"/>
      <c r="C24" s="259" t="s">
        <v>151</v>
      </c>
      <c r="D24" s="260"/>
      <c r="E24" s="156"/>
    </row>
    <row r="25" spans="1:5" ht="18.75" customHeight="1" thickTop="1" thickBot="1" x14ac:dyDescent="0.35">
      <c r="A25" s="32"/>
      <c r="B25" s="212"/>
      <c r="C25" s="149" t="s">
        <v>67</v>
      </c>
      <c r="D25" s="157">
        <v>1533</v>
      </c>
      <c r="E25" s="17"/>
    </row>
    <row r="26" spans="1:5" ht="21" customHeight="1" thickTop="1" thickBot="1" x14ac:dyDescent="0.35">
      <c r="A26" s="200" t="s">
        <v>35</v>
      </c>
      <c r="B26" s="200"/>
      <c r="C26" s="200"/>
      <c r="D26" s="200"/>
      <c r="E26" s="43"/>
    </row>
    <row r="27" spans="1:5" ht="15.75" customHeight="1" thickTop="1" x14ac:dyDescent="0.3">
      <c r="A27" s="34" t="s">
        <v>13</v>
      </c>
      <c r="B27" s="217" t="s">
        <v>146</v>
      </c>
      <c r="C27" s="217"/>
      <c r="D27" s="218"/>
      <c r="E27" s="68">
        <v>0</v>
      </c>
    </row>
    <row r="28" spans="1:5" ht="15.6" thickBot="1" x14ac:dyDescent="0.35">
      <c r="A28" s="6" t="s">
        <v>14</v>
      </c>
      <c r="B28" s="219" t="s">
        <v>159</v>
      </c>
      <c r="C28" s="219"/>
      <c r="D28" s="219"/>
      <c r="E28" s="68">
        <v>0</v>
      </c>
    </row>
    <row r="29" spans="1:5" ht="28.95" customHeight="1" thickTop="1" thickBot="1" x14ac:dyDescent="0.35">
      <c r="A29" s="200" t="s">
        <v>185</v>
      </c>
      <c r="B29" s="200"/>
      <c r="C29" s="200"/>
      <c r="D29" s="200"/>
      <c r="E29" s="11"/>
    </row>
    <row r="30" spans="1:5" ht="15.75" customHeight="1" thickTop="1" x14ac:dyDescent="0.3">
      <c r="A30" s="9" t="s">
        <v>18</v>
      </c>
      <c r="B30" s="220" t="s">
        <v>156</v>
      </c>
      <c r="C30" s="220"/>
      <c r="D30" s="221"/>
      <c r="E30" s="13">
        <f>IF(E27+E28&gt;0,E10+E11+E28,0)</f>
        <v>0</v>
      </c>
    </row>
    <row r="31" spans="1:5" ht="15" x14ac:dyDescent="0.3">
      <c r="A31" s="9" t="s">
        <v>19</v>
      </c>
      <c r="B31" s="288" t="s">
        <v>46</v>
      </c>
      <c r="C31" s="288"/>
      <c r="D31" s="289"/>
      <c r="E31" s="13">
        <f>IF(E12-(50000/12)&gt;0,E12-(50000/12),0)</f>
        <v>0</v>
      </c>
    </row>
    <row r="32" spans="1:5" ht="15" x14ac:dyDescent="0.3">
      <c r="A32" s="9" t="s">
        <v>20</v>
      </c>
      <c r="B32" s="193" t="s">
        <v>33</v>
      </c>
      <c r="C32" s="193"/>
      <c r="D32" s="194"/>
      <c r="E32" s="12">
        <f>IF(E27+E28&gt;0,20,0)</f>
        <v>0</v>
      </c>
    </row>
    <row r="33" spans="1:5" ht="15" x14ac:dyDescent="0.3">
      <c r="A33" s="9" t="s">
        <v>23</v>
      </c>
      <c r="B33" s="193" t="s">
        <v>17</v>
      </c>
      <c r="C33" s="193"/>
      <c r="D33" s="194"/>
      <c r="E33" s="13">
        <f>IF(E27+E28&gt;0,(IF(E10&gt;50,50,E10)),0)</f>
        <v>0</v>
      </c>
    </row>
    <row r="34" spans="1:5" ht="15" x14ac:dyDescent="0.3">
      <c r="A34" s="9" t="s">
        <v>24</v>
      </c>
      <c r="B34" s="193" t="s">
        <v>21</v>
      </c>
      <c r="C34" s="193"/>
      <c r="D34" s="194"/>
      <c r="E34" s="12">
        <f>IF(E27+E28&gt;0,IF(E13&gt;75,E13,IF(E13&gt;0,75,0)),E13)</f>
        <v>0</v>
      </c>
    </row>
    <row r="35" spans="1:5" ht="15" x14ac:dyDescent="0.3">
      <c r="A35" s="9" t="s">
        <v>25</v>
      </c>
      <c r="B35" s="193" t="s">
        <v>81</v>
      </c>
      <c r="C35" s="193"/>
      <c r="D35" s="194"/>
      <c r="E35" s="12">
        <f>E14</f>
        <v>0</v>
      </c>
    </row>
    <row r="36" spans="1:5" ht="15" customHeight="1" x14ac:dyDescent="0.3">
      <c r="A36" s="9" t="s">
        <v>26</v>
      </c>
      <c r="B36" s="193" t="s">
        <v>22</v>
      </c>
      <c r="C36" s="193"/>
      <c r="D36" s="194"/>
      <c r="E36" s="12">
        <f>IF(E27+E28&gt;0,(E27+E28)/2,0)</f>
        <v>0</v>
      </c>
    </row>
    <row r="37" spans="1:5" ht="27" customHeight="1" x14ac:dyDescent="0.3">
      <c r="A37" s="21" t="s">
        <v>47</v>
      </c>
      <c r="B37" s="265" t="s">
        <v>178</v>
      </c>
      <c r="C37" s="265"/>
      <c r="D37" s="154">
        <v>5410</v>
      </c>
      <c r="E37" s="155">
        <f>IF(E30+E31-(E32+E33+E34+E35+E36)&gt;=B43,MAX(MIN(E30+E31,E28-D39)-MAX(0,E28-D37),0),0)</f>
        <v>0</v>
      </c>
    </row>
    <row r="38" spans="1:5" ht="15.6" x14ac:dyDescent="0.3">
      <c r="A38" s="35" t="s">
        <v>48</v>
      </c>
      <c r="B38" s="225" t="s">
        <v>164</v>
      </c>
      <c r="C38" s="225"/>
      <c r="D38" s="226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154</v>
      </c>
      <c r="C39" s="51" t="s">
        <v>177</v>
      </c>
      <c r="D39" s="173">
        <v>4509</v>
      </c>
      <c r="E39" s="73" t="str">
        <f>IF((E27+E28)&gt;0,IF(E38&gt;D39,"Ineligible","Eligible")," Ineligible")</f>
        <v xml:space="preserve"> Ineligible</v>
      </c>
    </row>
    <row r="40" spans="1:5" ht="21.45" customHeight="1" thickBot="1" x14ac:dyDescent="0.35">
      <c r="A40" s="29"/>
      <c r="B40" s="263" t="s">
        <v>67</v>
      </c>
      <c r="C40" s="263"/>
      <c r="D40" s="264"/>
      <c r="E40" s="60" t="s">
        <v>67</v>
      </c>
    </row>
    <row r="41" spans="1:5" ht="32.700000000000003" customHeight="1" thickTop="1" thickBot="1" x14ac:dyDescent="0.35">
      <c r="A41" s="207" t="s">
        <v>175</v>
      </c>
      <c r="B41" s="207"/>
      <c r="C41" s="207"/>
      <c r="D41" s="207"/>
      <c r="E41" s="42"/>
    </row>
    <row r="42" spans="1:5" ht="43.5" customHeight="1" thickTop="1" x14ac:dyDescent="0.3">
      <c r="A42" s="15"/>
      <c r="B42" s="232" t="s">
        <v>182</v>
      </c>
      <c r="C42" s="232"/>
      <c r="D42" s="232"/>
      <c r="E42" s="232"/>
    </row>
    <row r="43" spans="1:5" ht="16.8" x14ac:dyDescent="0.3">
      <c r="A43" s="15"/>
      <c r="B43" s="176">
        <f>D39</f>
        <v>4509</v>
      </c>
      <c r="C43" s="80" t="s">
        <v>187</v>
      </c>
      <c r="D43" s="138" t="s">
        <v>28</v>
      </c>
      <c r="E43" s="78">
        <v>271</v>
      </c>
    </row>
    <row r="44" spans="1:5" ht="16.8" x14ac:dyDescent="0.3">
      <c r="A44" s="15"/>
      <c r="B44" s="137" t="s">
        <v>189</v>
      </c>
      <c r="C44" s="139">
        <v>4508.99</v>
      </c>
      <c r="D44" s="138" t="s">
        <v>28</v>
      </c>
      <c r="E44" s="78">
        <v>180</v>
      </c>
    </row>
    <row r="45" spans="1:5" ht="16.8" x14ac:dyDescent="0.3">
      <c r="A45" s="15"/>
      <c r="B45" s="137" t="s">
        <v>188</v>
      </c>
      <c r="C45" s="139">
        <v>3606.99</v>
      </c>
      <c r="D45" s="138" t="s">
        <v>28</v>
      </c>
      <c r="E45" s="78">
        <v>108</v>
      </c>
    </row>
    <row r="46" spans="1:5" ht="16.8" x14ac:dyDescent="0.3">
      <c r="A46" s="15"/>
      <c r="B46" s="137" t="s">
        <v>190</v>
      </c>
      <c r="C46" s="139">
        <v>2704.99</v>
      </c>
      <c r="D46" s="138" t="s">
        <v>28</v>
      </c>
      <c r="E46" s="78">
        <v>72</v>
      </c>
    </row>
    <row r="47" spans="1:5" ht="27.45" customHeight="1" x14ac:dyDescent="0.3">
      <c r="A47" s="15"/>
      <c r="B47" s="140">
        <v>1804</v>
      </c>
      <c r="C47" s="141" t="s">
        <v>85</v>
      </c>
      <c r="D47" s="138" t="s">
        <v>28</v>
      </c>
      <c r="E47" s="80">
        <v>0</v>
      </c>
    </row>
    <row r="48" spans="1:5" ht="24" customHeight="1" x14ac:dyDescent="0.3">
      <c r="A48" s="61" t="s">
        <v>73</v>
      </c>
      <c r="B48" s="228" t="s">
        <v>179</v>
      </c>
      <c r="C48" s="228"/>
      <c r="D48" s="229"/>
      <c r="E48" s="14">
        <f>E30+E31-E32-E33-E34-E35-E36</f>
        <v>0</v>
      </c>
    </row>
    <row r="49" spans="1:5" ht="17.399999999999999" x14ac:dyDescent="0.3">
      <c r="A49" s="62"/>
      <c r="B49" s="290" t="s">
        <v>29</v>
      </c>
      <c r="C49" s="290"/>
      <c r="D49" s="291"/>
      <c r="E49" s="30" t="str">
        <f>IF(E39="Eligible",IF(E37&gt;0,E43,IF(AND(E48&gt;=4509,E48=4509),E43,IF(AND(E48&gt;=3607,E48&lt;=4508.99),E44,IF(AND(E48&gt;=2705,E48&lt;=3606.99),E45,IF(AND(E48&gt;=1804.01,E48&lt;=2704.99),E46,0)))))," ")</f>
        <v xml:space="preserve"> </v>
      </c>
    </row>
    <row r="50" spans="1:5" ht="32.700000000000003" customHeight="1" thickBot="1" x14ac:dyDescent="0.35">
      <c r="A50" s="292" t="s">
        <v>37</v>
      </c>
      <c r="B50" s="292"/>
      <c r="C50" s="292"/>
      <c r="D50" s="292"/>
      <c r="E50" s="63"/>
    </row>
    <row r="51" spans="1:5" ht="32.700000000000003" customHeight="1" thickTop="1" x14ac:dyDescent="0.3">
      <c r="A51" s="232" t="s">
        <v>127</v>
      </c>
      <c r="B51" s="232"/>
      <c r="C51" s="232"/>
      <c r="D51" s="232"/>
      <c r="E51" s="232"/>
    </row>
    <row r="52" spans="1:5" ht="17.399999999999999" x14ac:dyDescent="0.3">
      <c r="A52" s="64"/>
      <c r="B52" s="233" t="s">
        <v>88</v>
      </c>
      <c r="C52" s="233"/>
      <c r="D52" s="234"/>
      <c r="E52" s="37">
        <f>IF(E28+E12&gt;65,ROUNDDOWN(((E10+E11)-(E13+E14+E32))+((E28+E12-65)/2)-D25,0),E23)</f>
        <v>0</v>
      </c>
    </row>
    <row r="53" spans="1:5" ht="37.5" customHeight="1" thickBot="1" x14ac:dyDescent="0.35">
      <c r="A53" s="207" t="s">
        <v>57</v>
      </c>
      <c r="B53" s="207"/>
      <c r="C53" s="207"/>
      <c r="D53" s="207"/>
      <c r="E53" s="207"/>
    </row>
    <row r="54" spans="1:5" ht="21.45" customHeight="1" thickTop="1" x14ac:dyDescent="0.3">
      <c r="A54" s="268" t="s">
        <v>60</v>
      </c>
      <c r="B54" s="293"/>
      <c r="C54" s="293"/>
      <c r="D54" s="293"/>
      <c r="E54" s="293"/>
    </row>
    <row r="55" spans="1:5" x14ac:dyDescent="0.3">
      <c r="A55" s="238" t="s">
        <v>69</v>
      </c>
      <c r="B55" s="239"/>
      <c r="C55" s="239"/>
      <c r="D55" s="240"/>
      <c r="E55" s="52">
        <f>E10+E11</f>
        <v>0</v>
      </c>
    </row>
    <row r="56" spans="1:5" x14ac:dyDescent="0.3">
      <c r="A56" s="238" t="s">
        <v>72</v>
      </c>
      <c r="B56" s="239"/>
      <c r="C56" s="239"/>
      <c r="D56" s="240"/>
      <c r="E56" s="52">
        <f>E12</f>
        <v>0</v>
      </c>
    </row>
    <row r="57" spans="1:5" x14ac:dyDescent="0.3">
      <c r="A57" s="238" t="s">
        <v>61</v>
      </c>
      <c r="B57" s="239"/>
      <c r="C57" s="239"/>
      <c r="D57" s="240"/>
      <c r="E57" s="52">
        <f>0-(E13+E14)</f>
        <v>0</v>
      </c>
    </row>
    <row r="58" spans="1:5" x14ac:dyDescent="0.3">
      <c r="A58" s="241" t="s">
        <v>62</v>
      </c>
      <c r="B58" s="242"/>
      <c r="C58" s="242"/>
      <c r="D58" s="243"/>
      <c r="E58" s="52">
        <f>0-E23</f>
        <v>0</v>
      </c>
    </row>
    <row r="59" spans="1:5" ht="15" x14ac:dyDescent="0.3">
      <c r="A59" s="244" t="s">
        <v>63</v>
      </c>
      <c r="B59" s="245"/>
      <c r="C59" s="245"/>
      <c r="D59" s="246"/>
      <c r="E59" s="12">
        <f>E55+E56+E57+E58</f>
        <v>0</v>
      </c>
    </row>
    <row r="60" spans="1:5" ht="21.45" customHeight="1" x14ac:dyDescent="0.3">
      <c r="A60" s="266" t="s">
        <v>71</v>
      </c>
      <c r="B60" s="266"/>
      <c r="C60" s="266"/>
      <c r="D60" s="266"/>
      <c r="E60" s="266"/>
    </row>
    <row r="61" spans="1:5" x14ac:dyDescent="0.3">
      <c r="A61" s="238" t="s">
        <v>69</v>
      </c>
      <c r="B61" s="239"/>
      <c r="C61" s="239"/>
      <c r="D61" s="240"/>
      <c r="E61" s="52">
        <f>E10+E11</f>
        <v>0</v>
      </c>
    </row>
    <row r="62" spans="1:5" x14ac:dyDescent="0.3">
      <c r="A62" s="238" t="s">
        <v>64</v>
      </c>
      <c r="B62" s="239"/>
      <c r="C62" s="239"/>
      <c r="D62" s="240"/>
      <c r="E62" s="52">
        <f>E27+E28</f>
        <v>0</v>
      </c>
    </row>
    <row r="63" spans="1:5" x14ac:dyDescent="0.3">
      <c r="A63" s="238" t="s">
        <v>72</v>
      </c>
      <c r="B63" s="239"/>
      <c r="C63" s="239"/>
      <c r="D63" s="240"/>
      <c r="E63" s="52">
        <f>E12</f>
        <v>0</v>
      </c>
    </row>
    <row r="64" spans="1:5" x14ac:dyDescent="0.3">
      <c r="A64" s="238" t="s">
        <v>61</v>
      </c>
      <c r="B64" s="239"/>
      <c r="C64" s="239"/>
      <c r="D64" s="240"/>
      <c r="E64" s="52">
        <f>0-(E13+E14)</f>
        <v>0</v>
      </c>
    </row>
    <row r="65" spans="1:5" x14ac:dyDescent="0.3">
      <c r="A65" s="241" t="s">
        <v>59</v>
      </c>
      <c r="B65" s="242"/>
      <c r="C65" s="242"/>
      <c r="D65" s="243"/>
      <c r="E65" s="54">
        <f>IF(E39="Eligible",0-E49, 0)</f>
        <v>0</v>
      </c>
    </row>
    <row r="66" spans="1:5" x14ac:dyDescent="0.3">
      <c r="A66" s="238" t="s">
        <v>66</v>
      </c>
      <c r="B66" s="239"/>
      <c r="C66" s="239"/>
      <c r="D66" s="240"/>
      <c r="E66" s="54">
        <f>IF(E39="Eligible",0,0-E52)</f>
        <v>0</v>
      </c>
    </row>
    <row r="67" spans="1:5" ht="15" x14ac:dyDescent="0.3">
      <c r="A67" s="244" t="s">
        <v>65</v>
      </c>
      <c r="B67" s="245"/>
      <c r="C67" s="245"/>
      <c r="D67" s="246"/>
      <c r="E67" s="12">
        <f>E61+E63+E62+E64+E65+E66</f>
        <v>0</v>
      </c>
    </row>
    <row r="68" spans="1:5" ht="28.95" customHeight="1" x14ac:dyDescent="0.3">
      <c r="A68" s="294" t="s">
        <v>70</v>
      </c>
      <c r="B68" s="295"/>
      <c r="C68" s="295"/>
      <c r="D68" s="296"/>
      <c r="E68" s="38">
        <f>E67-E59</f>
        <v>0</v>
      </c>
    </row>
  </sheetData>
  <sheetProtection sheet="1" selectLockedCells="1"/>
  <mergeCells count="64">
    <mergeCell ref="A68:D68"/>
    <mergeCell ref="A57:D57"/>
    <mergeCell ref="A58:D58"/>
    <mergeCell ref="A59:D59"/>
    <mergeCell ref="A60:E60"/>
    <mergeCell ref="A61:D61"/>
    <mergeCell ref="A62:D62"/>
    <mergeCell ref="A63:D63"/>
    <mergeCell ref="A64:D64"/>
    <mergeCell ref="A65:D65"/>
    <mergeCell ref="A66:D66"/>
    <mergeCell ref="A67:D67"/>
    <mergeCell ref="A56:D56"/>
    <mergeCell ref="B40:D40"/>
    <mergeCell ref="A41:D41"/>
    <mergeCell ref="B42:E42"/>
    <mergeCell ref="B48:D48"/>
    <mergeCell ref="B49:D49"/>
    <mergeCell ref="A50:D50"/>
    <mergeCell ref="A51:E51"/>
    <mergeCell ref="B52:D52"/>
    <mergeCell ref="A53:E53"/>
    <mergeCell ref="A54:E54"/>
    <mergeCell ref="A55:D55"/>
    <mergeCell ref="B38:D38"/>
    <mergeCell ref="A26:D26"/>
    <mergeCell ref="B27:D27"/>
    <mergeCell ref="B28:D28"/>
    <mergeCell ref="A29:D29"/>
    <mergeCell ref="B30:D30"/>
    <mergeCell ref="B31:D31"/>
    <mergeCell ref="B32:D32"/>
    <mergeCell ref="B33:D33"/>
    <mergeCell ref="B34:D34"/>
    <mergeCell ref="B35:D35"/>
    <mergeCell ref="B36:D36"/>
    <mergeCell ref="B37:C37"/>
    <mergeCell ref="B23:B25"/>
    <mergeCell ref="C23:D23"/>
    <mergeCell ref="C24:D24"/>
    <mergeCell ref="B11:D11"/>
    <mergeCell ref="B12:D12"/>
    <mergeCell ref="B13:D13"/>
    <mergeCell ref="B14:D15"/>
    <mergeCell ref="A16:D16"/>
    <mergeCell ref="B17:D17"/>
    <mergeCell ref="B18:D18"/>
    <mergeCell ref="A19:D19"/>
    <mergeCell ref="A20:D20"/>
    <mergeCell ref="B21:D21"/>
    <mergeCell ref="B22:D22"/>
    <mergeCell ref="B10:D10"/>
    <mergeCell ref="A1:E1"/>
    <mergeCell ref="A2:E2"/>
    <mergeCell ref="A3:E3"/>
    <mergeCell ref="A4:B4"/>
    <mergeCell ref="D4:E4"/>
    <mergeCell ref="A5:B5"/>
    <mergeCell ref="C5:D5"/>
    <mergeCell ref="A6:B6"/>
    <mergeCell ref="C6:D6"/>
    <mergeCell ref="A7:E7"/>
    <mergeCell ref="A8:E8"/>
    <mergeCell ref="A9:D9"/>
  </mergeCells>
  <pageMargins left="0.25" right="0.25" top="0.75" bottom="0.75" header="0.3" footer="0.3"/>
  <pageSetup orientation="portrait" r:id="rId1"/>
  <headerFooter differentFirst="1">
    <oddHeader xml:space="preserve">&amp;L&amp;"-,Italic"&amp;9Spend Down or Ticket to Work Health Assurance Calculation for Couples, only one disabled
</oddHeader>
    <oddFooter>&amp;L&amp;8Effective 4/1/26
&amp;C&amp;"Calibri,Regular"&amp;K000000
&amp;R&amp;"Calibri,Regular"&amp;8&amp;K000000 Page &amp;P
Revised 3/19/26</oddFooter>
    <firstHeader>&amp;C&amp;"-,Bold"&amp;18Spend Down or Ticket to Work Health Assurance</firstHeader>
    <firstFooter xml:space="preserve">&amp;L&amp;8Effective 4/1/26&amp;R&amp;8Revised 3/19/26
</first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E42"/>
  <sheetViews>
    <sheetView showGridLines="0" showRowColHeaders="0" view="pageLayout" workbookViewId="0">
      <selection activeCell="C2" sqref="C2"/>
    </sheetView>
  </sheetViews>
  <sheetFormatPr defaultColWidth="8.6640625" defaultRowHeight="14.4" x14ac:dyDescent="0.3"/>
  <cols>
    <col min="1" max="1" width="4.44140625" customWidth="1"/>
    <col min="2" max="2" width="26.109375" customWidth="1"/>
    <col min="3" max="3" width="18.109375" customWidth="1"/>
    <col min="4" max="4" width="32.44140625" customWidth="1"/>
    <col min="5" max="5" width="14.6640625" customWidth="1"/>
  </cols>
  <sheetData>
    <row r="1" spans="1:5" ht="24" thickBot="1" x14ac:dyDescent="0.35">
      <c r="A1" s="297" t="s">
        <v>122</v>
      </c>
      <c r="B1" s="297"/>
      <c r="C1" s="297"/>
      <c r="D1" s="297"/>
      <c r="E1" s="297"/>
    </row>
    <row r="2" spans="1:5" ht="21.45" customHeight="1" thickTop="1" x14ac:dyDescent="0.3">
      <c r="A2" s="191" t="s">
        <v>0</v>
      </c>
      <c r="B2" s="191"/>
      <c r="C2" s="36" t="s">
        <v>67</v>
      </c>
      <c r="D2" s="278"/>
      <c r="E2" s="278"/>
    </row>
    <row r="3" spans="1:5" ht="21.45" customHeight="1" x14ac:dyDescent="0.3">
      <c r="A3" s="191" t="s">
        <v>89</v>
      </c>
      <c r="B3" s="191"/>
      <c r="C3" s="298" t="s">
        <v>67</v>
      </c>
      <c r="D3" s="298"/>
      <c r="E3" s="298"/>
    </row>
    <row r="4" spans="1:5" ht="18.75" customHeight="1" x14ac:dyDescent="0.3">
      <c r="A4" s="198" t="s">
        <v>30</v>
      </c>
      <c r="B4" s="198"/>
      <c r="C4" s="198"/>
      <c r="D4" s="198"/>
      <c r="E4" s="198"/>
    </row>
    <row r="5" spans="1:5" ht="18.75" customHeight="1" thickBot="1" x14ac:dyDescent="0.35">
      <c r="A5" s="199" t="s">
        <v>3</v>
      </c>
      <c r="B5" s="199"/>
      <c r="C5" s="199"/>
      <c r="D5" s="199"/>
      <c r="E5" s="199"/>
    </row>
    <row r="6" spans="1:5" ht="32.700000000000003" customHeight="1" thickTop="1" thickBot="1" x14ac:dyDescent="0.35">
      <c r="A6" s="200" t="s">
        <v>133</v>
      </c>
      <c r="B6" s="200"/>
      <c r="C6" s="200"/>
      <c r="D6" s="200"/>
      <c r="E6" s="85"/>
    </row>
    <row r="7" spans="1:5" ht="15" customHeight="1" thickTop="1" x14ac:dyDescent="0.3">
      <c r="A7" s="86" t="s">
        <v>4</v>
      </c>
      <c r="B7" s="87" t="s">
        <v>90</v>
      </c>
      <c r="C7" s="88"/>
      <c r="D7" s="88"/>
      <c r="E7" s="89">
        <v>0</v>
      </c>
    </row>
    <row r="8" spans="1:5" ht="15" customHeight="1" x14ac:dyDescent="0.3">
      <c r="A8" s="90" t="s">
        <v>91</v>
      </c>
      <c r="B8" s="91" t="s">
        <v>92</v>
      </c>
      <c r="C8" s="92"/>
      <c r="D8" s="92"/>
      <c r="E8" s="89">
        <v>0</v>
      </c>
    </row>
    <row r="9" spans="1:5" ht="15" customHeight="1" x14ac:dyDescent="0.3">
      <c r="A9" s="93" t="s">
        <v>93</v>
      </c>
      <c r="B9" s="91" t="s">
        <v>94</v>
      </c>
      <c r="C9" s="92"/>
      <c r="D9" s="92"/>
      <c r="E9" s="89">
        <v>0</v>
      </c>
    </row>
    <row r="10" spans="1:5" ht="15" customHeight="1" x14ac:dyDescent="0.3">
      <c r="A10" s="94" t="s">
        <v>6</v>
      </c>
      <c r="B10" s="299" t="s">
        <v>136</v>
      </c>
      <c r="C10" s="299"/>
      <c r="D10" s="300"/>
      <c r="E10" s="95">
        <v>0</v>
      </c>
    </row>
    <row r="11" spans="1:5" ht="15" customHeight="1" x14ac:dyDescent="0.3">
      <c r="A11" s="7" t="s">
        <v>7</v>
      </c>
      <c r="B11" s="201" t="s">
        <v>137</v>
      </c>
      <c r="C11" s="201"/>
      <c r="D11" s="202"/>
      <c r="E11" s="96">
        <v>0</v>
      </c>
    </row>
    <row r="12" spans="1:5" ht="15" customHeight="1" x14ac:dyDescent="0.3">
      <c r="A12" s="7" t="s">
        <v>8</v>
      </c>
      <c r="B12" s="84" t="s">
        <v>138</v>
      </c>
      <c r="C12" s="82"/>
      <c r="D12" s="83"/>
      <c r="E12" s="96">
        <v>0</v>
      </c>
    </row>
    <row r="13" spans="1:5" ht="15" x14ac:dyDescent="0.3">
      <c r="A13" s="7" t="s">
        <v>95</v>
      </c>
      <c r="B13" s="84" t="s">
        <v>139</v>
      </c>
      <c r="C13" s="142"/>
      <c r="D13" s="97">
        <f>IF(E8-E9&gt;0,1,(IF(E8-E9=2,1,(IF(E8-E9=3,1,(IF(E8-E9=4,1,0)))))))</f>
        <v>0</v>
      </c>
      <c r="E13" s="96">
        <v>0</v>
      </c>
    </row>
    <row r="14" spans="1:5" ht="15" x14ac:dyDescent="0.3">
      <c r="A14" s="7" t="s">
        <v>96</v>
      </c>
      <c r="B14" s="84" t="s">
        <v>139</v>
      </c>
      <c r="C14" s="142"/>
      <c r="D14" s="98">
        <f>IF(E8-E9&gt;1,2,(IF(E8-E9=3,2,(IF(E8-E9=4,2,0)))))</f>
        <v>0</v>
      </c>
      <c r="E14" s="96">
        <v>0</v>
      </c>
    </row>
    <row r="15" spans="1:5" ht="15" x14ac:dyDescent="0.3">
      <c r="A15" s="7" t="s">
        <v>97</v>
      </c>
      <c r="B15" s="84" t="s">
        <v>139</v>
      </c>
      <c r="C15" s="142"/>
      <c r="D15" s="98">
        <f>IF(E8-E9&gt;2,3,(IF(E8-E9=4,3,0)))</f>
        <v>0</v>
      </c>
      <c r="E15" s="96">
        <v>0</v>
      </c>
    </row>
    <row r="16" spans="1:5" ht="15" x14ac:dyDescent="0.3">
      <c r="A16" s="7" t="s">
        <v>98</v>
      </c>
      <c r="B16" s="84" t="s">
        <v>139</v>
      </c>
      <c r="C16" s="142"/>
      <c r="D16" s="99">
        <f>(IF(E8-E9&gt;3,4,0))</f>
        <v>0</v>
      </c>
      <c r="E16" s="96">
        <v>0</v>
      </c>
    </row>
    <row r="17" spans="1:5" ht="15" x14ac:dyDescent="0.3">
      <c r="A17" s="7" t="s">
        <v>98</v>
      </c>
      <c r="B17" s="84" t="s">
        <v>139</v>
      </c>
      <c r="C17" s="142"/>
      <c r="D17" s="99">
        <f>(IF(E8-E9&gt;4,5,0))</f>
        <v>0</v>
      </c>
      <c r="E17" s="96">
        <v>0</v>
      </c>
    </row>
    <row r="18" spans="1:5" ht="15" x14ac:dyDescent="0.3">
      <c r="A18" s="6" t="s">
        <v>10</v>
      </c>
      <c r="B18" s="201" t="s">
        <v>150</v>
      </c>
      <c r="C18" s="299"/>
      <c r="D18" s="202"/>
      <c r="E18" s="96">
        <v>0</v>
      </c>
    </row>
    <row r="19" spans="1:5" ht="32.700000000000003" customHeight="1" thickBot="1" x14ac:dyDescent="0.35">
      <c r="A19" s="207" t="s">
        <v>99</v>
      </c>
      <c r="B19" s="207"/>
      <c r="C19" s="207"/>
      <c r="D19" s="207"/>
      <c r="E19" s="49" t="s">
        <v>67</v>
      </c>
    </row>
    <row r="20" spans="1:5" ht="15.6" thickTop="1" x14ac:dyDescent="0.3">
      <c r="A20" s="100" t="s">
        <v>11</v>
      </c>
      <c r="B20" s="301" t="s">
        <v>100</v>
      </c>
      <c r="C20" s="301"/>
      <c r="D20" s="302"/>
      <c r="E20" s="13">
        <f xml:space="preserve"> D21+D22+D23+D24+D25</f>
        <v>0</v>
      </c>
    </row>
    <row r="21" spans="1:5" ht="15" x14ac:dyDescent="0.3">
      <c r="A21" s="101"/>
      <c r="B21" s="102"/>
      <c r="C21" s="103" t="s">
        <v>101</v>
      </c>
      <c r="D21" s="104">
        <f>IF(D13=1,(IF(497-E13&gt;0,497-E13,0)),0)</f>
        <v>0</v>
      </c>
      <c r="E21" s="105"/>
    </row>
    <row r="22" spans="1:5" ht="15" x14ac:dyDescent="0.3">
      <c r="A22" s="101"/>
      <c r="B22" s="102"/>
      <c r="C22" s="103" t="s">
        <v>102</v>
      </c>
      <c r="D22" s="104">
        <f>IF(D14=2,(IF(497-E14&gt;0,497-E14,0)),0)</f>
        <v>0</v>
      </c>
      <c r="E22" s="105"/>
    </row>
    <row r="23" spans="1:5" ht="15" x14ac:dyDescent="0.3">
      <c r="A23" s="101"/>
      <c r="B23" s="102"/>
      <c r="C23" s="103" t="s">
        <v>103</v>
      </c>
      <c r="D23" s="104">
        <f>IF(D15=3,(IF(497-E15&gt;0,497-E15,0)),0)</f>
        <v>0</v>
      </c>
      <c r="E23" s="106"/>
    </row>
    <row r="24" spans="1:5" ht="15" x14ac:dyDescent="0.3">
      <c r="A24" s="101"/>
      <c r="B24" s="102"/>
      <c r="C24" s="103" t="s">
        <v>104</v>
      </c>
      <c r="D24" s="104">
        <f>IF(D16=4,(IF(497-E16&gt;0,497-E16,0)),0)</f>
        <v>0</v>
      </c>
      <c r="E24" s="105"/>
    </row>
    <row r="25" spans="1:5" ht="15" x14ac:dyDescent="0.3">
      <c r="A25" s="101"/>
      <c r="B25" s="107"/>
      <c r="C25" s="103" t="s">
        <v>149</v>
      </c>
      <c r="D25" s="104">
        <f>IF(D17=5,(IF(497-E17&gt;0,497-E17,0)),0)</f>
        <v>0</v>
      </c>
      <c r="E25" s="105"/>
    </row>
    <row r="26" spans="1:5" ht="15" x14ac:dyDescent="0.3">
      <c r="A26" s="6" t="s">
        <v>12</v>
      </c>
      <c r="B26" s="193" t="s">
        <v>33</v>
      </c>
      <c r="C26" s="193"/>
      <c r="D26" s="194"/>
      <c r="E26" s="108">
        <v>20</v>
      </c>
    </row>
    <row r="27" spans="1:5" ht="15.6" x14ac:dyDescent="0.3">
      <c r="A27" s="109" t="s">
        <v>13</v>
      </c>
      <c r="B27" s="110" t="s">
        <v>105</v>
      </c>
      <c r="C27" s="111"/>
      <c r="D27" s="112"/>
      <c r="E27" s="113">
        <f>IF(E10-E20-E26&lt;0,0,E10-E20-E26)</f>
        <v>0</v>
      </c>
    </row>
    <row r="28" spans="1:5" ht="15.6" x14ac:dyDescent="0.3">
      <c r="A28" s="109" t="s">
        <v>14</v>
      </c>
      <c r="B28" s="303" t="s">
        <v>106</v>
      </c>
      <c r="C28" s="303"/>
      <c r="D28" s="304"/>
      <c r="E28" s="113">
        <f>IF(E10-E20&gt;0,0,-E10+E20)</f>
        <v>0</v>
      </c>
    </row>
    <row r="29" spans="1:5" ht="15.6" x14ac:dyDescent="0.3">
      <c r="A29" s="109" t="s">
        <v>18</v>
      </c>
      <c r="B29" s="114" t="s">
        <v>107</v>
      </c>
      <c r="C29" s="111"/>
      <c r="D29" s="112"/>
      <c r="E29" s="115">
        <f>IF(E10-E20-E26&gt;0,0,-E10+E20+E26-E28)</f>
        <v>20</v>
      </c>
    </row>
    <row r="30" spans="1:5" ht="15" x14ac:dyDescent="0.3">
      <c r="A30" s="109" t="s">
        <v>19</v>
      </c>
      <c r="B30" s="110" t="s">
        <v>108</v>
      </c>
      <c r="C30" s="116"/>
      <c r="D30" s="117"/>
      <c r="E30" s="118">
        <f>(IF((E11-E28-E29-65)&gt;0,ROUND((E11-E28-E29-65)/2,2),0))+65</f>
        <v>65</v>
      </c>
    </row>
    <row r="31" spans="1:5" ht="15.6" x14ac:dyDescent="0.3">
      <c r="A31" s="119" t="s">
        <v>20</v>
      </c>
      <c r="B31" s="120" t="s">
        <v>109</v>
      </c>
      <c r="C31" s="121"/>
      <c r="D31" s="122"/>
      <c r="E31" s="113">
        <f>IF(E11-E28-E29-E30&gt;0,E11-E28-E29-E30,0)</f>
        <v>0</v>
      </c>
    </row>
    <row r="32" spans="1:5" ht="15.6" x14ac:dyDescent="0.3">
      <c r="A32" s="6" t="s">
        <v>23</v>
      </c>
      <c r="B32" s="123" t="s">
        <v>110</v>
      </c>
      <c r="C32" s="124"/>
      <c r="D32" s="125"/>
      <c r="E32" s="115">
        <f>E31+E27</f>
        <v>0</v>
      </c>
    </row>
    <row r="33" spans="1:5" ht="15.6" x14ac:dyDescent="0.3">
      <c r="A33" s="6" t="s">
        <v>24</v>
      </c>
      <c r="B33" s="193" t="s">
        <v>111</v>
      </c>
      <c r="C33" s="193"/>
      <c r="D33" s="194"/>
      <c r="E33" s="126">
        <f>IF(E7=1,994,(IF(E7=2,1491,0)))</f>
        <v>0</v>
      </c>
    </row>
    <row r="34" spans="1:5" ht="16.2" thickBot="1" x14ac:dyDescent="0.35">
      <c r="A34" s="6" t="s">
        <v>25</v>
      </c>
      <c r="B34" s="127" t="s">
        <v>67</v>
      </c>
      <c r="C34" s="305" t="s">
        <v>112</v>
      </c>
      <c r="D34" s="306"/>
      <c r="E34" s="128">
        <f>IF(E32-E33&gt;0,E32-E33,0)</f>
        <v>0</v>
      </c>
    </row>
    <row r="35" spans="1:5" ht="32.700000000000003" customHeight="1" thickTop="1" thickBot="1" x14ac:dyDescent="0.35">
      <c r="A35" s="200" t="s">
        <v>134</v>
      </c>
      <c r="B35" s="200"/>
      <c r="C35" s="200"/>
      <c r="D35" s="200"/>
      <c r="E35" s="43"/>
    </row>
    <row r="36" spans="1:5" ht="15" customHeight="1" thickTop="1" x14ac:dyDescent="0.3">
      <c r="A36" s="6" t="s">
        <v>26</v>
      </c>
      <c r="B36" s="307" t="s">
        <v>113</v>
      </c>
      <c r="C36" s="307"/>
      <c r="D36" s="308"/>
      <c r="E36" s="143">
        <f>E12</f>
        <v>0</v>
      </c>
    </row>
    <row r="37" spans="1:5" ht="15.6" x14ac:dyDescent="0.3">
      <c r="A37" s="6" t="s">
        <v>47</v>
      </c>
      <c r="B37" s="193" t="s">
        <v>114</v>
      </c>
      <c r="C37" s="193"/>
      <c r="D37" s="194"/>
      <c r="E37" s="129" t="e">
        <f>E34/(E9)</f>
        <v>#DIV/0!</v>
      </c>
    </row>
    <row r="38" spans="1:5" ht="15.6" x14ac:dyDescent="0.3">
      <c r="A38" s="6" t="s">
        <v>48</v>
      </c>
      <c r="B38" s="193" t="s">
        <v>33</v>
      </c>
      <c r="C38" s="193"/>
      <c r="D38" s="194"/>
      <c r="E38" s="129">
        <v>20</v>
      </c>
    </row>
    <row r="39" spans="1:5" ht="15.6" x14ac:dyDescent="0.3">
      <c r="A39" s="6" t="s">
        <v>73</v>
      </c>
      <c r="B39" s="193" t="s">
        <v>115</v>
      </c>
      <c r="C39" s="193"/>
      <c r="D39" s="194"/>
      <c r="E39" s="130">
        <f>E18</f>
        <v>0</v>
      </c>
    </row>
    <row r="40" spans="1:5" ht="15.6" x14ac:dyDescent="0.3">
      <c r="A40" s="6" t="s">
        <v>116</v>
      </c>
      <c r="B40" s="193" t="s">
        <v>117</v>
      </c>
      <c r="C40" s="193"/>
      <c r="D40" s="194"/>
      <c r="E40" s="129" t="e">
        <f>IF(E36+E37-E38-E39&gt;0,E36+E37-E38-E39,0)</f>
        <v>#DIV/0!</v>
      </c>
    </row>
    <row r="41" spans="1:5" ht="15.6" x14ac:dyDescent="0.3">
      <c r="A41" s="6" t="s">
        <v>118</v>
      </c>
      <c r="B41" s="225" t="s">
        <v>119</v>
      </c>
      <c r="C41" s="225"/>
      <c r="D41" s="226"/>
      <c r="E41" s="131">
        <v>1131</v>
      </c>
    </row>
    <row r="42" spans="1:5" ht="15.6" x14ac:dyDescent="0.3">
      <c r="A42" s="132" t="s">
        <v>120</v>
      </c>
      <c r="B42" s="225" t="s">
        <v>135</v>
      </c>
      <c r="C42" s="225"/>
      <c r="D42" s="226"/>
      <c r="E42" s="133" t="e">
        <f>ROUNDDOWN(IF(E40-E41&gt;0,E40-E41,0),0)</f>
        <v>#DIV/0!</v>
      </c>
    </row>
  </sheetData>
  <sheetProtection sheet="1" selectLockedCells="1"/>
  <mergeCells count="25">
    <mergeCell ref="B42:D42"/>
    <mergeCell ref="B36:D36"/>
    <mergeCell ref="B37:D37"/>
    <mergeCell ref="B38:D38"/>
    <mergeCell ref="B39:D39"/>
    <mergeCell ref="B40:D40"/>
    <mergeCell ref="B41:D41"/>
    <mergeCell ref="A35:D35"/>
    <mergeCell ref="A5:E5"/>
    <mergeCell ref="A6:D6"/>
    <mergeCell ref="B10:D10"/>
    <mergeCell ref="B11:D11"/>
    <mergeCell ref="B18:D18"/>
    <mergeCell ref="A19:D19"/>
    <mergeCell ref="B20:D20"/>
    <mergeCell ref="B26:D26"/>
    <mergeCell ref="B28:D28"/>
    <mergeCell ref="B33:D33"/>
    <mergeCell ref="C34:D34"/>
    <mergeCell ref="A4:E4"/>
    <mergeCell ref="A1:E1"/>
    <mergeCell ref="A2:B2"/>
    <mergeCell ref="D2:E2"/>
    <mergeCell ref="A3:B3"/>
    <mergeCell ref="C3:E3"/>
  </mergeCells>
  <phoneticPr fontId="37" type="noConversion"/>
  <pageMargins left="0.25" right="0.25" top="0.75" bottom="0.75" header="0.3" footer="0.3"/>
  <pageSetup scale="94" orientation="portrait" r:id="rId1"/>
  <headerFooter differentFirst="1">
    <oddFooter>&amp;C&amp;"Calibri,Regular"&amp;K000000_x000D_&amp;R&amp;"Calibri,Regular"&amp;8&amp;K000000Revised 4/12/21</oddFooter>
    <firstFooter>&amp;L&amp;8Effective 4/1/26&amp;R&amp;8Revised 3/19/26</firstFooter>
  </headerFooter>
  <drawing r:id="rId2"/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DA60"/>
  <sheetViews>
    <sheetView showGridLines="0" view="pageLayout" zoomScaleNormal="110" zoomScaleSheetLayoutView="90" workbookViewId="0">
      <selection activeCell="C4" sqref="C4"/>
    </sheetView>
  </sheetViews>
  <sheetFormatPr defaultColWidth="8.6640625" defaultRowHeight="14.4" x14ac:dyDescent="0.3"/>
  <cols>
    <col min="1" max="1" width="4.44140625" customWidth="1"/>
    <col min="2" max="2" width="21.44140625" customWidth="1"/>
    <col min="3" max="3" width="16.6640625" customWidth="1"/>
    <col min="4" max="4" width="26" customWidth="1"/>
    <col min="5" max="5" width="15.6640625" customWidth="1"/>
  </cols>
  <sheetData>
    <row r="1" spans="1:5" ht="21.75" customHeight="1" thickBot="1" x14ac:dyDescent="0.35">
      <c r="A1" s="186" t="s">
        <v>129</v>
      </c>
      <c r="B1" s="186"/>
      <c r="C1" s="186"/>
      <c r="D1" s="186"/>
      <c r="E1" s="186"/>
    </row>
    <row r="2" spans="1:5" ht="21.75" customHeight="1" thickTop="1" thickBot="1" x14ac:dyDescent="0.35">
      <c r="A2" s="187" t="s">
        <v>161</v>
      </c>
      <c r="B2" s="188"/>
      <c r="C2" s="188"/>
      <c r="D2" s="188"/>
      <c r="E2" s="188"/>
    </row>
    <row r="3" spans="1:5" ht="16.5" customHeight="1" thickTop="1" x14ac:dyDescent="0.3">
      <c r="A3" s="189" t="s">
        <v>87</v>
      </c>
      <c r="B3" s="190"/>
      <c r="C3" s="190"/>
      <c r="D3" s="190"/>
      <c r="E3" s="190"/>
    </row>
    <row r="4" spans="1:5" ht="15.75" customHeight="1" x14ac:dyDescent="0.3">
      <c r="A4" s="191" t="s">
        <v>0</v>
      </c>
      <c r="B4" s="191"/>
      <c r="C4" s="36" t="s">
        <v>67</v>
      </c>
      <c r="D4" s="4"/>
      <c r="E4" s="3"/>
    </row>
    <row r="5" spans="1:5" ht="21.75" customHeight="1" x14ac:dyDescent="0.3">
      <c r="A5" s="191" t="s">
        <v>1</v>
      </c>
      <c r="B5" s="191"/>
      <c r="C5" s="192" t="s">
        <v>67</v>
      </c>
      <c r="D5" s="192"/>
      <c r="E5" s="3"/>
    </row>
    <row r="6" spans="1:5" s="2" customFormat="1" ht="24" customHeight="1" x14ac:dyDescent="0.3">
      <c r="A6" s="195" t="s">
        <v>2</v>
      </c>
      <c r="B6" s="195"/>
      <c r="C6" s="309"/>
      <c r="D6" s="309"/>
      <c r="E6" s="5"/>
    </row>
    <row r="7" spans="1:5" s="2" customFormat="1" ht="20.25" customHeight="1" x14ac:dyDescent="0.3">
      <c r="A7" s="198" t="s">
        <v>30</v>
      </c>
      <c r="B7" s="198"/>
      <c r="C7" s="198"/>
      <c r="D7" s="198"/>
      <c r="E7" s="198"/>
    </row>
    <row r="8" spans="1:5" ht="23.25" customHeight="1" thickBot="1" x14ac:dyDescent="0.35">
      <c r="A8" s="199" t="s">
        <v>3</v>
      </c>
      <c r="B8" s="199"/>
      <c r="C8" s="199"/>
      <c r="D8" s="199"/>
      <c r="E8" s="199"/>
    </row>
    <row r="9" spans="1:5" ht="32.25" customHeight="1" thickTop="1" thickBot="1" x14ac:dyDescent="0.35">
      <c r="A9" s="200" t="s">
        <v>32</v>
      </c>
      <c r="B9" s="200"/>
      <c r="C9" s="200"/>
      <c r="D9" s="200"/>
      <c r="E9" s="43"/>
    </row>
    <row r="10" spans="1:5" s="8" customFormat="1" ht="18" customHeight="1" thickTop="1" x14ac:dyDescent="0.3">
      <c r="A10" s="7" t="s">
        <v>4</v>
      </c>
      <c r="B10" s="201" t="s">
        <v>128</v>
      </c>
      <c r="C10" s="201"/>
      <c r="D10" s="202"/>
      <c r="E10" s="68">
        <v>0</v>
      </c>
    </row>
    <row r="11" spans="1:5" s="8" customFormat="1" ht="24.75" customHeight="1" x14ac:dyDescent="0.3">
      <c r="A11" s="7" t="s">
        <v>5</v>
      </c>
      <c r="B11" s="201" t="s">
        <v>148</v>
      </c>
      <c r="C11" s="201"/>
      <c r="D11" s="202"/>
      <c r="E11" s="68">
        <v>0</v>
      </c>
    </row>
    <row r="12" spans="1:5" s="8" customFormat="1" ht="18" customHeight="1" x14ac:dyDescent="0.3">
      <c r="A12" s="7" t="s">
        <v>6</v>
      </c>
      <c r="B12" s="201" t="s">
        <v>16</v>
      </c>
      <c r="C12" s="201"/>
      <c r="D12" s="202"/>
      <c r="E12" s="68">
        <v>0</v>
      </c>
    </row>
    <row r="13" spans="1:5" s="8" customFormat="1" ht="18" customHeight="1" x14ac:dyDescent="0.3">
      <c r="A13" s="7" t="s">
        <v>7</v>
      </c>
      <c r="B13" s="203" t="s">
        <v>80</v>
      </c>
      <c r="C13" s="203"/>
      <c r="D13" s="204"/>
      <c r="E13" s="69">
        <v>0</v>
      </c>
    </row>
    <row r="14" spans="1:5" s="8" customFormat="1" ht="18" customHeight="1" thickBot="1" x14ac:dyDescent="0.35">
      <c r="A14" s="27"/>
      <c r="B14" s="205"/>
      <c r="C14" s="205"/>
      <c r="D14" s="206"/>
      <c r="E14" s="70"/>
    </row>
    <row r="15" spans="1:5" s="8" customFormat="1" ht="32.25" customHeight="1" thickTop="1" thickBot="1" x14ac:dyDescent="0.35">
      <c r="A15" s="207" t="s">
        <v>34</v>
      </c>
      <c r="B15" s="207"/>
      <c r="C15" s="207"/>
      <c r="D15" s="207"/>
      <c r="E15" s="26"/>
    </row>
    <row r="16" spans="1:5" ht="15" customHeight="1" thickTop="1" x14ac:dyDescent="0.3">
      <c r="A16" s="9" t="s">
        <v>8</v>
      </c>
      <c r="B16" s="208" t="s">
        <v>31</v>
      </c>
      <c r="C16" s="208"/>
      <c r="D16" s="209"/>
      <c r="E16" s="13">
        <f xml:space="preserve"> E10+E11</f>
        <v>0</v>
      </c>
    </row>
    <row r="17" spans="1:105" ht="15" customHeight="1" x14ac:dyDescent="0.3">
      <c r="A17" s="9" t="s">
        <v>9</v>
      </c>
      <c r="B17" s="193" t="s">
        <v>33</v>
      </c>
      <c r="C17" s="193"/>
      <c r="D17" s="194"/>
      <c r="E17" s="12">
        <f>IF(E16&gt;0,20,0)</f>
        <v>0</v>
      </c>
    </row>
    <row r="18" spans="1:105" ht="15" customHeight="1" x14ac:dyDescent="0.3">
      <c r="A18" s="9" t="s">
        <v>10</v>
      </c>
      <c r="B18" s="193" t="s">
        <v>78</v>
      </c>
      <c r="C18" s="193"/>
      <c r="D18" s="194"/>
      <c r="E18" s="16">
        <f>IF(E16&gt;0,IF((E16-(E12+E13+E17))&gt;0,E16-(E12+E13+E17),0),0)</f>
        <v>0</v>
      </c>
    </row>
    <row r="19" spans="1:105" ht="15.75" customHeight="1" x14ac:dyDescent="0.3">
      <c r="A19" s="33"/>
      <c r="B19" s="210" t="s">
        <v>67</v>
      </c>
      <c r="C19" s="213" t="s">
        <v>36</v>
      </c>
      <c r="D19" s="214"/>
    </row>
    <row r="20" spans="1:105" ht="24.45" customHeight="1" thickBot="1" x14ac:dyDescent="0.35">
      <c r="A20" s="32"/>
      <c r="B20" s="212"/>
      <c r="C20" s="259" t="s">
        <v>191</v>
      </c>
      <c r="D20" s="260"/>
      <c r="E20" s="18">
        <f>ROUNDDOWN(IF(E18-C40&gt;0,E18-C40,0),0)</f>
        <v>0</v>
      </c>
    </row>
    <row r="21" spans="1:105" ht="24.45" customHeight="1" thickTop="1" thickBot="1" x14ac:dyDescent="0.35">
      <c r="A21" s="159"/>
      <c r="B21" s="160"/>
      <c r="C21" s="161"/>
      <c r="D21" s="161"/>
      <c r="E21" s="162" t="s">
        <v>67</v>
      </c>
    </row>
    <row r="22" spans="1:105" ht="32.25" customHeight="1" thickTop="1" thickBot="1" x14ac:dyDescent="0.35">
      <c r="A22" s="200" t="s">
        <v>35</v>
      </c>
      <c r="B22" s="200"/>
      <c r="C22" s="200"/>
      <c r="D22" s="200"/>
      <c r="E22" s="43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</row>
    <row r="23" spans="1:105" ht="18" customHeight="1" thickTop="1" x14ac:dyDescent="0.3">
      <c r="A23" s="34" t="s">
        <v>11</v>
      </c>
      <c r="B23" s="217" t="s">
        <v>141</v>
      </c>
      <c r="C23" s="217"/>
      <c r="D23" s="218"/>
      <c r="E23" s="68">
        <v>0</v>
      </c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</row>
    <row r="24" spans="1:105" ht="18" customHeight="1" thickBot="1" x14ac:dyDescent="0.35">
      <c r="A24" s="6" t="s">
        <v>12</v>
      </c>
      <c r="B24" s="219" t="s">
        <v>140</v>
      </c>
      <c r="C24" s="219"/>
      <c r="D24" s="219"/>
      <c r="E24" s="68">
        <v>0</v>
      </c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</row>
    <row r="25" spans="1:105" s="1" customFormat="1" ht="32.25" customHeight="1" thickTop="1" thickBot="1" x14ac:dyDescent="0.35">
      <c r="A25" s="200" t="s">
        <v>158</v>
      </c>
      <c r="B25" s="200"/>
      <c r="C25" s="200"/>
      <c r="D25" s="200"/>
      <c r="E25" s="11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</row>
    <row r="26" spans="1:105" s="1" customFormat="1" ht="15.75" customHeight="1" thickTop="1" x14ac:dyDescent="0.3">
      <c r="A26" s="9" t="s">
        <v>13</v>
      </c>
      <c r="B26" s="220" t="s">
        <v>152</v>
      </c>
      <c r="C26" s="220"/>
      <c r="D26" s="221"/>
      <c r="E26" s="13">
        <f>IF((E23+E24)&gt;0,E10+E11+E24,0)</f>
        <v>0</v>
      </c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</row>
    <row r="27" spans="1:105" s="1" customFormat="1" ht="15.75" customHeight="1" x14ac:dyDescent="0.3">
      <c r="A27" s="9" t="s">
        <v>14</v>
      </c>
      <c r="B27" s="193" t="s">
        <v>33</v>
      </c>
      <c r="C27" s="193"/>
      <c r="D27" s="194"/>
      <c r="E27" s="12">
        <f>IF((E23+E24)&gt;0,20,0)</f>
        <v>0</v>
      </c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</row>
    <row r="28" spans="1:105" s="1" customFormat="1" ht="15.75" customHeight="1" x14ac:dyDescent="0.3">
      <c r="A28" s="9" t="s">
        <v>18</v>
      </c>
      <c r="B28" s="193" t="s">
        <v>17</v>
      </c>
      <c r="C28" s="193"/>
      <c r="D28" s="194"/>
      <c r="E28" s="13">
        <f>IF(E23+E24=0,0,(IF(E10&gt;50,50,E10)))</f>
        <v>0</v>
      </c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</row>
    <row r="29" spans="1:105" s="1" customFormat="1" ht="15.75" customHeight="1" x14ac:dyDescent="0.3">
      <c r="A29" s="9" t="s">
        <v>19</v>
      </c>
      <c r="B29" s="193" t="s">
        <v>21</v>
      </c>
      <c r="C29" s="193"/>
      <c r="D29" s="194"/>
      <c r="E29" s="12">
        <f>IF(E12&gt;75,E12,IF(E12&gt;0,75,0))</f>
        <v>0</v>
      </c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</row>
    <row r="30" spans="1:105" s="1" customFormat="1" ht="15.75" customHeight="1" x14ac:dyDescent="0.3">
      <c r="A30" s="9" t="s">
        <v>20</v>
      </c>
      <c r="B30" s="193" t="s">
        <v>81</v>
      </c>
      <c r="C30" s="193"/>
      <c r="D30" s="194"/>
      <c r="E30" s="12">
        <f>E13</f>
        <v>0</v>
      </c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</row>
    <row r="31" spans="1:105" s="1" customFormat="1" ht="15.75" customHeight="1" x14ac:dyDescent="0.3">
      <c r="A31" s="9" t="s">
        <v>23</v>
      </c>
      <c r="B31" s="193" t="s">
        <v>22</v>
      </c>
      <c r="C31" s="193"/>
      <c r="D31" s="194"/>
      <c r="E31" s="12">
        <f>IF(E23+E24&gt;0,(E23+E24)/2,0)</f>
        <v>0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</row>
    <row r="32" spans="1:105" s="1" customFormat="1" ht="15.75" customHeight="1" x14ac:dyDescent="0.3">
      <c r="A32" s="21" t="s">
        <v>24</v>
      </c>
      <c r="B32" s="175" t="s">
        <v>184</v>
      </c>
      <c r="C32" s="144"/>
      <c r="D32" s="154">
        <v>3990</v>
      </c>
      <c r="E32" s="155">
        <f>IF(E26-(E27+E28+E29+E30+E31)&gt;=B37,MAX(MIN(E26,E24-D34)-MAX(0,E24-D32),0),0)</f>
        <v>0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</row>
    <row r="33" spans="1:5" ht="18" customHeight="1" x14ac:dyDescent="0.3">
      <c r="A33" s="35" t="s">
        <v>25</v>
      </c>
      <c r="B33" s="225" t="s">
        <v>153</v>
      </c>
      <c r="C33" s="225"/>
      <c r="D33" s="226"/>
      <c r="E33" s="38">
        <f>IF((E26)-(E27+E28+E29+E30+E31+E32)&gt;0,(E26)-(E27+E28+E29+E30+E31+E32),0)</f>
        <v>0</v>
      </c>
    </row>
    <row r="34" spans="1:5" ht="15.75" customHeight="1" x14ac:dyDescent="0.3">
      <c r="A34" s="24"/>
      <c r="B34" s="51" t="s">
        <v>154</v>
      </c>
      <c r="C34" s="19" t="s">
        <v>155</v>
      </c>
      <c r="D34" s="20">
        <v>3325</v>
      </c>
      <c r="E34" s="73" t="str">
        <f>IF((E23+E24)&gt;0,IF(E33&gt;D34,"Ineligible","Eligible")," Ineligible")</f>
        <v xml:space="preserve"> Ineligible</v>
      </c>
    </row>
    <row r="35" spans="1:5" ht="43.2" customHeight="1" thickBot="1" x14ac:dyDescent="0.35">
      <c r="A35" s="207" t="s">
        <v>27</v>
      </c>
      <c r="B35" s="207"/>
      <c r="C35" s="207"/>
      <c r="D35" s="207"/>
      <c r="E35" s="42"/>
    </row>
    <row r="36" spans="1:5" ht="50.25" customHeight="1" thickTop="1" x14ac:dyDescent="0.3">
      <c r="A36" s="15"/>
      <c r="B36" s="232" t="s">
        <v>181</v>
      </c>
      <c r="C36" s="232"/>
      <c r="D36" s="232"/>
      <c r="E36" s="232"/>
    </row>
    <row r="37" spans="1:5" ht="24.45" customHeight="1" x14ac:dyDescent="0.3">
      <c r="A37" s="15"/>
      <c r="B37" s="177">
        <v>3325</v>
      </c>
      <c r="C37" s="78" t="s">
        <v>187</v>
      </c>
      <c r="D37" s="81" t="s">
        <v>28</v>
      </c>
      <c r="E37" s="78">
        <v>200</v>
      </c>
    </row>
    <row r="38" spans="1:5" ht="24.45" customHeight="1" x14ac:dyDescent="0.3">
      <c r="A38" s="15"/>
      <c r="B38" s="39" t="s">
        <v>194</v>
      </c>
      <c r="C38" s="79">
        <v>3324.99</v>
      </c>
      <c r="D38" s="81" t="s">
        <v>28</v>
      </c>
      <c r="E38" s="78">
        <v>133</v>
      </c>
    </row>
    <row r="39" spans="1:5" s="8" customFormat="1" ht="24.45" customHeight="1" x14ac:dyDescent="0.3">
      <c r="A39" s="15"/>
      <c r="B39" s="39" t="s">
        <v>195</v>
      </c>
      <c r="C39" s="79">
        <v>2659.99</v>
      </c>
      <c r="D39" s="81" t="s">
        <v>28</v>
      </c>
      <c r="E39" s="78">
        <v>80</v>
      </c>
    </row>
    <row r="40" spans="1:5" s="8" customFormat="1" ht="24.45" customHeight="1" x14ac:dyDescent="0.3">
      <c r="A40" s="15"/>
      <c r="B40" s="39" t="s">
        <v>196</v>
      </c>
      <c r="C40" s="79">
        <v>1994.99</v>
      </c>
      <c r="D40" s="81" t="s">
        <v>28</v>
      </c>
      <c r="E40" s="78">
        <v>53</v>
      </c>
    </row>
    <row r="41" spans="1:5" ht="24" customHeight="1" x14ac:dyDescent="0.3">
      <c r="A41" s="15"/>
      <c r="B41" s="74">
        <f>C40</f>
        <v>1994.99</v>
      </c>
      <c r="C41" s="75" t="s">
        <v>85</v>
      </c>
      <c r="D41" s="41" t="s">
        <v>28</v>
      </c>
      <c r="E41" s="40">
        <v>0</v>
      </c>
    </row>
    <row r="42" spans="1:5" ht="26.25" customHeight="1" x14ac:dyDescent="0.3">
      <c r="A42" s="9" t="s">
        <v>26</v>
      </c>
      <c r="B42" s="228" t="s">
        <v>176</v>
      </c>
      <c r="C42" s="228"/>
      <c r="D42" s="229"/>
      <c r="E42" s="14">
        <f>IF((E26)-(E27+E28+E29+E30+E31)&gt;0,(E26)-(E27+E28+E29+E30+E31),0)</f>
        <v>0</v>
      </c>
    </row>
    <row r="43" spans="1:5" ht="17.399999999999999" x14ac:dyDescent="0.3">
      <c r="A43" s="31"/>
      <c r="B43" s="230" t="s">
        <v>29</v>
      </c>
      <c r="C43" s="230"/>
      <c r="D43" s="231"/>
      <c r="E43" s="30" t="str">
        <f>IF(E34="Eligible",IF(E32&gt;0,E37,IF(AND(E42&gt;=2660,E42&lt;=3324.99),E38,IF(AND(E42&gt;=1999,E42&lt;=2659.99),E39,IF(AND(E42&gt;=1330.01,E42&lt;=1994.99),E40,0))))," ")</f>
        <v xml:space="preserve"> </v>
      </c>
    </row>
    <row r="44" spans="1:5" ht="43.2" customHeight="1" thickBot="1" x14ac:dyDescent="0.35">
      <c r="A44" s="207" t="s">
        <v>37</v>
      </c>
      <c r="B44" s="207"/>
      <c r="C44" s="207"/>
      <c r="D44" s="207"/>
      <c r="E44" s="26"/>
    </row>
    <row r="45" spans="1:5" ht="30.45" customHeight="1" thickTop="1" x14ac:dyDescent="0.3">
      <c r="A45" s="232" t="s">
        <v>127</v>
      </c>
      <c r="B45" s="232"/>
      <c r="C45" s="232"/>
      <c r="D45" s="232"/>
      <c r="E45" s="232"/>
    </row>
    <row r="46" spans="1:5" ht="17.399999999999999" x14ac:dyDescent="0.3">
      <c r="A46" s="10"/>
      <c r="B46" s="233" t="s">
        <v>88</v>
      </c>
      <c r="C46" s="233"/>
      <c r="D46" s="234"/>
      <c r="E46" s="37">
        <f>IF(E24&gt;65,ROUNDDOWN(((E10+E11)-(E12+E13+20))+((E24-65)/2)-C40,0),E20)</f>
        <v>0</v>
      </c>
    </row>
    <row r="47" spans="1:5" ht="43.2" customHeight="1" thickBot="1" x14ac:dyDescent="0.35">
      <c r="A47" s="207" t="s">
        <v>57</v>
      </c>
      <c r="B47" s="207"/>
      <c r="C47" s="207"/>
      <c r="D47" s="207"/>
      <c r="E47" s="207"/>
    </row>
    <row r="48" spans="1:5" ht="16.2" thickTop="1" x14ac:dyDescent="0.3">
      <c r="A48" s="222" t="s">
        <v>60</v>
      </c>
      <c r="B48" s="223"/>
      <c r="C48" s="223"/>
      <c r="D48" s="223"/>
      <c r="E48" s="224"/>
    </row>
    <row r="49" spans="1:5" s="53" customFormat="1" ht="14.7" customHeight="1" x14ac:dyDescent="0.25">
      <c r="A49" s="238" t="s">
        <v>69</v>
      </c>
      <c r="B49" s="239"/>
      <c r="C49" s="239"/>
      <c r="D49" s="240"/>
      <c r="E49" s="52">
        <f>E10+E11</f>
        <v>0</v>
      </c>
    </row>
    <row r="50" spans="1:5" s="53" customFormat="1" ht="14.7" customHeight="1" x14ac:dyDescent="0.25">
      <c r="A50" s="238" t="s">
        <v>61</v>
      </c>
      <c r="B50" s="239"/>
      <c r="C50" s="239"/>
      <c r="D50" s="240"/>
      <c r="E50" s="52">
        <f>0-(E12+E13)</f>
        <v>0</v>
      </c>
    </row>
    <row r="51" spans="1:5" s="53" customFormat="1" ht="14.7" customHeight="1" x14ac:dyDescent="0.25">
      <c r="A51" s="241" t="s">
        <v>62</v>
      </c>
      <c r="B51" s="242"/>
      <c r="C51" s="242"/>
      <c r="D51" s="243"/>
      <c r="E51" s="52">
        <f>0-E20</f>
        <v>0</v>
      </c>
    </row>
    <row r="52" spans="1:5" ht="18" customHeight="1" x14ac:dyDescent="0.3">
      <c r="A52" s="244" t="s">
        <v>63</v>
      </c>
      <c r="B52" s="245"/>
      <c r="C52" s="245"/>
      <c r="D52" s="246"/>
      <c r="E52" s="12">
        <f>E49+E50+E51</f>
        <v>0</v>
      </c>
    </row>
    <row r="53" spans="1:5" ht="19.5" customHeight="1" x14ac:dyDescent="0.3">
      <c r="A53" s="247" t="s">
        <v>68</v>
      </c>
      <c r="B53" s="248"/>
      <c r="C53" s="248"/>
      <c r="D53" s="248"/>
      <c r="E53" s="249"/>
    </row>
    <row r="54" spans="1:5" s="53" customFormat="1" ht="14.7" customHeight="1" x14ac:dyDescent="0.25">
      <c r="A54" s="238" t="s">
        <v>69</v>
      </c>
      <c r="B54" s="239"/>
      <c r="C54" s="239"/>
      <c r="D54" s="240"/>
      <c r="E54" s="52">
        <f>E10+E11</f>
        <v>0</v>
      </c>
    </row>
    <row r="55" spans="1:5" s="53" customFormat="1" ht="14.7" customHeight="1" x14ac:dyDescent="0.25">
      <c r="A55" s="238" t="s">
        <v>61</v>
      </c>
      <c r="B55" s="239"/>
      <c r="C55" s="239"/>
      <c r="D55" s="240"/>
      <c r="E55" s="52">
        <f>0-(E12+E13)</f>
        <v>0</v>
      </c>
    </row>
    <row r="56" spans="1:5" s="53" customFormat="1" ht="14.7" customHeight="1" x14ac:dyDescent="0.25">
      <c r="A56" s="238" t="s">
        <v>64</v>
      </c>
      <c r="B56" s="239"/>
      <c r="C56" s="239"/>
      <c r="D56" s="240"/>
      <c r="E56" s="52">
        <f>E23+E24</f>
        <v>0</v>
      </c>
    </row>
    <row r="57" spans="1:5" s="53" customFormat="1" ht="14.7" customHeight="1" x14ac:dyDescent="0.25">
      <c r="A57" s="241" t="s">
        <v>59</v>
      </c>
      <c r="B57" s="242"/>
      <c r="C57" s="242"/>
      <c r="D57" s="243"/>
      <c r="E57" s="54">
        <f>IF(E34="Eligible",(0-E43), 0)</f>
        <v>0</v>
      </c>
    </row>
    <row r="58" spans="1:5" s="53" customFormat="1" ht="14.7" customHeight="1" x14ac:dyDescent="0.25">
      <c r="A58" s="238" t="s">
        <v>66</v>
      </c>
      <c r="B58" s="239"/>
      <c r="C58" s="239"/>
      <c r="D58" s="240"/>
      <c r="E58" s="54">
        <f>IF(E34="Eligible",0,(0-E46))</f>
        <v>0</v>
      </c>
    </row>
    <row r="59" spans="1:5" ht="18" customHeight="1" x14ac:dyDescent="0.3">
      <c r="A59" s="244" t="s">
        <v>65</v>
      </c>
      <c r="B59" s="245"/>
      <c r="C59" s="245"/>
      <c r="D59" s="246"/>
      <c r="E59" s="12">
        <f>(E10+E11)-(E12+E13)+E56+E57+E58</f>
        <v>0</v>
      </c>
    </row>
    <row r="60" spans="1:5" ht="21.45" customHeight="1" x14ac:dyDescent="0.3">
      <c r="A60" s="235" t="s">
        <v>70</v>
      </c>
      <c r="B60" s="236"/>
      <c r="C60" s="236"/>
      <c r="D60" s="237"/>
      <c r="E60" s="55">
        <f>E59-E52</f>
        <v>0</v>
      </c>
    </row>
  </sheetData>
  <sheetProtection sheet="1" selectLockedCells="1"/>
  <mergeCells count="54">
    <mergeCell ref="A8:E8"/>
    <mergeCell ref="A9:D9"/>
    <mergeCell ref="B10:D10"/>
    <mergeCell ref="A1:E1"/>
    <mergeCell ref="A2:E2"/>
    <mergeCell ref="A3:E3"/>
    <mergeCell ref="A4:B4"/>
    <mergeCell ref="A5:B5"/>
    <mergeCell ref="C5:D5"/>
    <mergeCell ref="A6:B6"/>
    <mergeCell ref="C6:D6"/>
    <mergeCell ref="A7:E7"/>
    <mergeCell ref="B17:D17"/>
    <mergeCell ref="B18:D18"/>
    <mergeCell ref="B19:B20"/>
    <mergeCell ref="C19:D19"/>
    <mergeCell ref="C20:D20"/>
    <mergeCell ref="A22:D22"/>
    <mergeCell ref="B31:D31"/>
    <mergeCell ref="B33:D33"/>
    <mergeCell ref="B23:D23"/>
    <mergeCell ref="B11:D11"/>
    <mergeCell ref="B12:D12"/>
    <mergeCell ref="B13:D14"/>
    <mergeCell ref="A15:D15"/>
    <mergeCell ref="B16:D16"/>
    <mergeCell ref="B24:D24"/>
    <mergeCell ref="A25:D25"/>
    <mergeCell ref="B26:D26"/>
    <mergeCell ref="B27:D27"/>
    <mergeCell ref="B28:D28"/>
    <mergeCell ref="B29:D29"/>
    <mergeCell ref="B30:D30"/>
    <mergeCell ref="A51:D51"/>
    <mergeCell ref="A35:D35"/>
    <mergeCell ref="B36:E36"/>
    <mergeCell ref="B42:D42"/>
    <mergeCell ref="B43:D43"/>
    <mergeCell ref="A44:D44"/>
    <mergeCell ref="A45:E45"/>
    <mergeCell ref="B46:D46"/>
    <mergeCell ref="A47:E47"/>
    <mergeCell ref="A48:E48"/>
    <mergeCell ref="A49:D49"/>
    <mergeCell ref="A50:D50"/>
    <mergeCell ref="A58:D58"/>
    <mergeCell ref="A59:D59"/>
    <mergeCell ref="A60:D60"/>
    <mergeCell ref="A52:D52"/>
    <mergeCell ref="A53:E53"/>
    <mergeCell ref="A54:D54"/>
    <mergeCell ref="A55:D55"/>
    <mergeCell ref="A56:D56"/>
    <mergeCell ref="A57:D57"/>
  </mergeCells>
  <phoneticPr fontId="37" type="noConversion"/>
  <pageMargins left="0.7" right="0.7" top="0.42" bottom="0.75" header="0.05" footer="0.3"/>
  <pageSetup orientation="portrait" r:id="rId1"/>
  <headerFooter differentFirst="1">
    <oddHeader>&amp;C&amp;"Calibri,Regular"&amp;9&amp;K000000Spend Down or Ticket to Work Health Assurance Calculation for Blind Single Adults</oddHeader>
    <oddFooter>&amp;L&amp;"Calibri,Regular"&amp;8&amp;K000000Effective 4/1/26&amp;R&amp;"Calibri,Regular"&amp;8&amp;K000000 Page &amp;P
Revised 3/19/26</oddFooter>
    <firstHeader>&amp;C&amp;"-,Bold"&amp;18Spend Down or Ticket to Work Health Assurance</firstHeader>
    <firstFooter xml:space="preserve">&amp;L&amp;8Effective 4/1/26
&amp;R&amp;8Revised  3/19/26
</firstFooter>
  </headerFooter>
  <rowBreaks count="1" manualBreakCount="1">
    <brk id="34" max="16383" man="1"/>
  </rowBreak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E68"/>
  <sheetViews>
    <sheetView showGridLines="0" zoomScaleNormal="100" zoomScalePageLayoutView="150" workbookViewId="0">
      <selection activeCell="E10" sqref="E10"/>
    </sheetView>
  </sheetViews>
  <sheetFormatPr defaultColWidth="8.6640625" defaultRowHeight="14.4" x14ac:dyDescent="0.3"/>
  <cols>
    <col min="1" max="1" width="4.33203125" customWidth="1"/>
    <col min="2" max="2" width="22" customWidth="1"/>
    <col min="3" max="3" width="18.109375" customWidth="1"/>
    <col min="4" max="4" width="32.44140625" customWidth="1"/>
    <col min="5" max="5" width="14.6640625" customWidth="1"/>
  </cols>
  <sheetData>
    <row r="1" spans="1:5" ht="18" customHeight="1" thickBot="1" x14ac:dyDescent="0.35">
      <c r="A1" s="275" t="s">
        <v>132</v>
      </c>
      <c r="B1" s="275"/>
      <c r="C1" s="275"/>
      <c r="D1" s="275"/>
      <c r="E1" s="275"/>
    </row>
    <row r="2" spans="1:5" ht="15.75" customHeight="1" thickTop="1" thickBot="1" x14ac:dyDescent="0.35">
      <c r="A2" s="251" t="s">
        <v>163</v>
      </c>
      <c r="B2" s="251"/>
      <c r="C2" s="251"/>
      <c r="D2" s="251"/>
      <c r="E2" s="251"/>
    </row>
    <row r="3" spans="1:5" ht="15" customHeight="1" thickTop="1" x14ac:dyDescent="0.3">
      <c r="A3" s="276" t="s">
        <v>87</v>
      </c>
      <c r="B3" s="277"/>
      <c r="C3" s="277"/>
      <c r="D3" s="277"/>
      <c r="E3" s="277"/>
    </row>
    <row r="4" spans="1:5" ht="18" customHeight="1" x14ac:dyDescent="0.3">
      <c r="A4" s="191" t="s">
        <v>0</v>
      </c>
      <c r="B4" s="191"/>
      <c r="C4" s="166" t="s">
        <v>67</v>
      </c>
      <c r="D4" s="278"/>
      <c r="E4" s="278"/>
    </row>
    <row r="5" spans="1:5" ht="21.45" customHeight="1" x14ac:dyDescent="0.3">
      <c r="A5" s="191" t="s">
        <v>39</v>
      </c>
      <c r="B5" s="191"/>
      <c r="C5" s="298" t="s">
        <v>67</v>
      </c>
      <c r="D5" s="298"/>
      <c r="E5" s="298"/>
    </row>
    <row r="6" spans="1:5" ht="21.45" customHeight="1" x14ac:dyDescent="0.3">
      <c r="A6" s="195" t="s">
        <v>2</v>
      </c>
      <c r="B6" s="195"/>
      <c r="C6" s="310"/>
      <c r="D6" s="310"/>
      <c r="E6" s="310"/>
    </row>
    <row r="7" spans="1:5" ht="15.75" customHeight="1" x14ac:dyDescent="0.3">
      <c r="A7" s="198" t="s">
        <v>30</v>
      </c>
      <c r="B7" s="198"/>
      <c r="C7" s="198"/>
      <c r="D7" s="198"/>
      <c r="E7" s="198"/>
    </row>
    <row r="8" spans="1:5" ht="18.75" customHeight="1" thickBot="1" x14ac:dyDescent="0.35">
      <c r="A8" s="199" t="s">
        <v>3</v>
      </c>
      <c r="B8" s="199"/>
      <c r="C8" s="199"/>
      <c r="D8" s="199"/>
      <c r="E8" s="199"/>
    </row>
    <row r="9" spans="1:5" ht="28.95" customHeight="1" thickTop="1" thickBot="1" x14ac:dyDescent="0.35">
      <c r="A9" s="200" t="s">
        <v>32</v>
      </c>
      <c r="B9" s="200"/>
      <c r="C9" s="200"/>
      <c r="D9" s="200"/>
      <c r="E9" s="43"/>
    </row>
    <row r="10" spans="1:5" ht="15.6" thickTop="1" x14ac:dyDescent="0.3">
      <c r="A10" s="7" t="s">
        <v>4</v>
      </c>
      <c r="B10" s="201" t="s">
        <v>131</v>
      </c>
      <c r="C10" s="201"/>
      <c r="D10" s="202"/>
      <c r="E10" s="68">
        <v>0</v>
      </c>
    </row>
    <row r="11" spans="1:5" ht="15" x14ac:dyDescent="0.3">
      <c r="A11" s="7" t="s">
        <v>5</v>
      </c>
      <c r="B11" s="201" t="s">
        <v>130</v>
      </c>
      <c r="C11" s="201"/>
      <c r="D11" s="202"/>
      <c r="E11" s="68">
        <v>0</v>
      </c>
    </row>
    <row r="12" spans="1:5" ht="15" x14ac:dyDescent="0.3">
      <c r="A12" s="7" t="s">
        <v>6</v>
      </c>
      <c r="B12" s="201" t="s">
        <v>45</v>
      </c>
      <c r="C12" s="201"/>
      <c r="D12" s="202"/>
      <c r="E12" s="68">
        <v>0</v>
      </c>
    </row>
    <row r="13" spans="1:5" ht="15" customHeight="1" x14ac:dyDescent="0.3">
      <c r="A13" s="7" t="s">
        <v>7</v>
      </c>
      <c r="B13" s="201" t="s">
        <v>83</v>
      </c>
      <c r="C13" s="201"/>
      <c r="D13" s="202"/>
      <c r="E13" s="68">
        <v>0</v>
      </c>
    </row>
    <row r="14" spans="1:5" ht="15" x14ac:dyDescent="0.3">
      <c r="A14" s="7" t="s">
        <v>8</v>
      </c>
      <c r="B14" s="279" t="s">
        <v>84</v>
      </c>
      <c r="C14" s="279"/>
      <c r="D14" s="280"/>
      <c r="E14" s="69">
        <v>0</v>
      </c>
    </row>
    <row r="15" spans="1:5" ht="15.6" thickBot="1" x14ac:dyDescent="0.35">
      <c r="A15" s="27"/>
      <c r="B15" s="281"/>
      <c r="C15" s="281"/>
      <c r="D15" s="282"/>
      <c r="E15" s="28" t="s">
        <v>67</v>
      </c>
    </row>
    <row r="16" spans="1:5" ht="28.95" customHeight="1" thickTop="1" thickBot="1" x14ac:dyDescent="0.35">
      <c r="A16" s="207" t="s">
        <v>34</v>
      </c>
      <c r="B16" s="207"/>
      <c r="C16" s="207"/>
      <c r="D16" s="207"/>
      <c r="E16" s="49"/>
    </row>
    <row r="17" spans="1:5" ht="15.6" thickTop="1" x14ac:dyDescent="0.3">
      <c r="A17" s="9" t="s">
        <v>9</v>
      </c>
      <c r="B17" s="208" t="s">
        <v>31</v>
      </c>
      <c r="C17" s="208"/>
      <c r="D17" s="209"/>
      <c r="E17" s="13">
        <f xml:space="preserve"> E10+E11</f>
        <v>0</v>
      </c>
    </row>
    <row r="18" spans="1:5" ht="15" x14ac:dyDescent="0.3">
      <c r="A18" s="9" t="s">
        <v>10</v>
      </c>
      <c r="B18" s="283" t="s">
        <v>77</v>
      </c>
      <c r="C18" s="283"/>
      <c r="D18" s="284"/>
      <c r="E18" s="65">
        <f>IF(E19-E20&gt;0,E19-E20,0)</f>
        <v>0</v>
      </c>
    </row>
    <row r="19" spans="1:5" x14ac:dyDescent="0.3">
      <c r="A19" s="285" t="s">
        <v>76</v>
      </c>
      <c r="B19" s="286"/>
      <c r="C19" s="286"/>
      <c r="D19" s="287"/>
      <c r="E19" s="66">
        <f>E12</f>
        <v>0</v>
      </c>
    </row>
    <row r="20" spans="1:5" x14ac:dyDescent="0.3">
      <c r="A20" s="285" t="s">
        <v>75</v>
      </c>
      <c r="B20" s="286"/>
      <c r="C20" s="286"/>
      <c r="D20" s="287"/>
      <c r="E20" s="67">
        <f>(IF((E12-65)&gt;0,ROUND((E12-65)/2,2),0))+65</f>
        <v>65</v>
      </c>
    </row>
    <row r="21" spans="1:5" ht="15" customHeight="1" x14ac:dyDescent="0.3">
      <c r="A21" s="9" t="s">
        <v>11</v>
      </c>
      <c r="B21" s="193" t="s">
        <v>33</v>
      </c>
      <c r="C21" s="193"/>
      <c r="D21" s="194"/>
      <c r="E21" s="12">
        <f>IF(E17+E18&gt;0,20,0)</f>
        <v>0</v>
      </c>
    </row>
    <row r="22" spans="1:5" ht="15.6" x14ac:dyDescent="0.3">
      <c r="A22" s="9" t="s">
        <v>12</v>
      </c>
      <c r="B22" s="193" t="s">
        <v>74</v>
      </c>
      <c r="C22" s="193"/>
      <c r="D22" s="194"/>
      <c r="E22" s="50">
        <f>IF(E17+E18&gt;0,IF(((E17+E18)-(E13+E14+E21))&gt;0,(E17+E18)-(E13+E14+E21),0),0)</f>
        <v>0</v>
      </c>
    </row>
    <row r="23" spans="1:5" ht="15.75" customHeight="1" x14ac:dyDescent="0.3">
      <c r="A23" s="33"/>
      <c r="B23" s="210" t="s">
        <v>67</v>
      </c>
      <c r="C23" s="213" t="s">
        <v>36</v>
      </c>
      <c r="D23" s="214"/>
      <c r="E23" s="18">
        <f>ROUNDDOWN(IF(E22-B47&gt;0,E22-B47,0),0)</f>
        <v>0</v>
      </c>
    </row>
    <row r="24" spans="1:5" ht="25.95" customHeight="1" thickBot="1" x14ac:dyDescent="0.35">
      <c r="A24" s="32"/>
      <c r="B24" s="212"/>
      <c r="C24" s="311" t="s">
        <v>192</v>
      </c>
      <c r="D24" s="312"/>
      <c r="E24" s="17"/>
    </row>
    <row r="25" spans="1:5" ht="25.95" customHeight="1" thickTop="1" thickBot="1" x14ac:dyDescent="0.35">
      <c r="A25" s="159"/>
      <c r="B25" s="160"/>
      <c r="C25" s="163"/>
      <c r="D25" s="163"/>
      <c r="E25" s="164"/>
    </row>
    <row r="26" spans="1:5" ht="28.95" customHeight="1" thickTop="1" thickBot="1" x14ac:dyDescent="0.35">
      <c r="A26" s="200" t="s">
        <v>35</v>
      </c>
      <c r="B26" s="200"/>
      <c r="C26" s="200"/>
      <c r="D26" s="200"/>
      <c r="E26" s="43"/>
    </row>
    <row r="27" spans="1:5" ht="15.75" customHeight="1" thickTop="1" x14ac:dyDescent="0.3">
      <c r="A27" s="34" t="s">
        <v>13</v>
      </c>
      <c r="B27" s="217" t="s">
        <v>146</v>
      </c>
      <c r="C27" s="217"/>
      <c r="D27" s="218"/>
      <c r="E27" s="68">
        <v>0</v>
      </c>
    </row>
    <row r="28" spans="1:5" ht="15.6" thickBot="1" x14ac:dyDescent="0.35">
      <c r="A28" s="6" t="s">
        <v>14</v>
      </c>
      <c r="B28" s="219" t="s">
        <v>147</v>
      </c>
      <c r="C28" s="219"/>
      <c r="D28" s="219"/>
      <c r="E28" s="68">
        <v>0</v>
      </c>
    </row>
    <row r="29" spans="1:5" ht="28.95" customHeight="1" thickTop="1" thickBot="1" x14ac:dyDescent="0.35">
      <c r="A29" s="200" t="s">
        <v>185</v>
      </c>
      <c r="B29" s="200"/>
      <c r="C29" s="200"/>
      <c r="D29" s="200"/>
      <c r="E29" s="11"/>
    </row>
    <row r="30" spans="1:5" ht="15.75" customHeight="1" thickTop="1" x14ac:dyDescent="0.3">
      <c r="A30" s="9" t="s">
        <v>18</v>
      </c>
      <c r="B30" s="220" t="s">
        <v>156</v>
      </c>
      <c r="C30" s="220"/>
      <c r="D30" s="221"/>
      <c r="E30" s="13">
        <f>IF(E27+E28&gt;0,E9+E10+E28,0)</f>
        <v>0</v>
      </c>
    </row>
    <row r="31" spans="1:5" ht="15" x14ac:dyDescent="0.3">
      <c r="A31" s="9" t="s">
        <v>19</v>
      </c>
      <c r="B31" s="288" t="s">
        <v>46</v>
      </c>
      <c r="C31" s="288"/>
      <c r="D31" s="289"/>
      <c r="E31" s="13">
        <f>IF(E12-(50000/12)&gt;0,E12-(50000/12),0)</f>
        <v>0</v>
      </c>
    </row>
    <row r="32" spans="1:5" ht="15" x14ac:dyDescent="0.3">
      <c r="A32" s="9" t="s">
        <v>20</v>
      </c>
      <c r="B32" s="193" t="s">
        <v>33</v>
      </c>
      <c r="C32" s="193"/>
      <c r="D32" s="194"/>
      <c r="E32" s="12">
        <f>IF(E27+E28&gt;0,20,0)</f>
        <v>0</v>
      </c>
    </row>
    <row r="33" spans="1:5" ht="15" x14ac:dyDescent="0.3">
      <c r="A33" s="9" t="s">
        <v>23</v>
      </c>
      <c r="B33" s="193" t="s">
        <v>17</v>
      </c>
      <c r="C33" s="193"/>
      <c r="D33" s="194"/>
      <c r="E33" s="13">
        <f>IF(E27+E28&gt;0,(IF(E10&gt;50,50,E10)),0)</f>
        <v>0</v>
      </c>
    </row>
    <row r="34" spans="1:5" ht="15" x14ac:dyDescent="0.3">
      <c r="A34" s="9" t="s">
        <v>24</v>
      </c>
      <c r="B34" s="193" t="s">
        <v>21</v>
      </c>
      <c r="C34" s="193"/>
      <c r="D34" s="194"/>
      <c r="E34" s="12">
        <f>IF(E27+E28&gt;0,IF(E13&gt;75,E13,IF(E13&gt;0,75,0)),E13)</f>
        <v>0</v>
      </c>
    </row>
    <row r="35" spans="1:5" ht="15" x14ac:dyDescent="0.3">
      <c r="A35" s="9" t="s">
        <v>25</v>
      </c>
      <c r="B35" s="193" t="s">
        <v>81</v>
      </c>
      <c r="C35" s="193"/>
      <c r="D35" s="194"/>
      <c r="E35" s="12">
        <f>E14</f>
        <v>0</v>
      </c>
    </row>
    <row r="36" spans="1:5" ht="15" customHeight="1" x14ac:dyDescent="0.3">
      <c r="A36" s="9" t="s">
        <v>26</v>
      </c>
      <c r="B36" s="193" t="s">
        <v>22</v>
      </c>
      <c r="C36" s="193"/>
      <c r="D36" s="194"/>
      <c r="E36" s="12">
        <f>IF(E27+E28&gt;0,(E27+E28)/2,0)</f>
        <v>0</v>
      </c>
    </row>
    <row r="37" spans="1:5" ht="28.5" customHeight="1" x14ac:dyDescent="0.3">
      <c r="A37" s="21" t="s">
        <v>47</v>
      </c>
      <c r="B37" s="265" t="s">
        <v>178</v>
      </c>
      <c r="C37" s="265"/>
      <c r="D37" s="154">
        <v>5288</v>
      </c>
      <c r="E37" s="155">
        <f>IF(E30+E31-(E32+E33+E34+E35+E36)&gt;C43,MAX(MIN(E30+E31,E28-D39)-MAX(0,E28-D37),0),0)</f>
        <v>0</v>
      </c>
    </row>
    <row r="38" spans="1:5" ht="15.6" x14ac:dyDescent="0.3">
      <c r="A38" s="35" t="s">
        <v>48</v>
      </c>
      <c r="B38" s="225" t="s">
        <v>164</v>
      </c>
      <c r="C38" s="225"/>
      <c r="D38" s="226"/>
      <c r="E38" s="38">
        <f>IF((E30+E31)-(E32+E33+E34+E35+E36+E37)&gt;0,(E30+E31)-(E32+E33+E34+E35+E36+E37),0)</f>
        <v>0</v>
      </c>
    </row>
    <row r="39" spans="1:5" ht="15" x14ac:dyDescent="0.3">
      <c r="A39" s="23"/>
      <c r="B39" s="51" t="s">
        <v>154</v>
      </c>
      <c r="C39" s="158" t="s">
        <v>157</v>
      </c>
      <c r="D39" s="20">
        <v>4407</v>
      </c>
      <c r="E39" s="22" t="str">
        <f>IF((E27+E28)&gt;0,IF(E38&gt;D39,"Ineligible","Eligible"),"Ineligible ")</f>
        <v xml:space="preserve">Ineligible </v>
      </c>
    </row>
    <row r="40" spans="1:5" ht="21.45" customHeight="1" thickBot="1" x14ac:dyDescent="0.35">
      <c r="A40" s="29"/>
      <c r="B40" s="263" t="s">
        <v>67</v>
      </c>
      <c r="C40" s="263"/>
      <c r="D40" s="264"/>
      <c r="E40" s="165" t="s">
        <v>67</v>
      </c>
    </row>
    <row r="41" spans="1:5" ht="32.700000000000003" customHeight="1" thickTop="1" thickBot="1" x14ac:dyDescent="0.35">
      <c r="A41" s="207" t="s">
        <v>27</v>
      </c>
      <c r="B41" s="207"/>
      <c r="C41" s="207"/>
      <c r="D41" s="207"/>
      <c r="E41" s="42"/>
    </row>
    <row r="42" spans="1:5" ht="42" customHeight="1" thickTop="1" x14ac:dyDescent="0.3">
      <c r="A42" s="15"/>
      <c r="B42" s="232" t="s">
        <v>182</v>
      </c>
      <c r="C42" s="232"/>
      <c r="D42" s="232"/>
      <c r="E42" s="232"/>
    </row>
    <row r="43" spans="1:5" ht="16.8" x14ac:dyDescent="0.3">
      <c r="A43" s="15"/>
      <c r="B43" s="176">
        <f>D39</f>
        <v>4407</v>
      </c>
      <c r="C43" s="80" t="s">
        <v>187</v>
      </c>
      <c r="D43" s="138" t="s">
        <v>28</v>
      </c>
      <c r="E43" s="78">
        <v>271</v>
      </c>
    </row>
    <row r="44" spans="1:5" ht="16.8" x14ac:dyDescent="0.3">
      <c r="A44" s="15"/>
      <c r="B44" s="137" t="s">
        <v>189</v>
      </c>
      <c r="C44" s="139">
        <v>4508.99</v>
      </c>
      <c r="D44" s="138" t="s">
        <v>28</v>
      </c>
      <c r="E44" s="78">
        <v>180</v>
      </c>
    </row>
    <row r="45" spans="1:5" ht="16.8" x14ac:dyDescent="0.3">
      <c r="A45" s="15"/>
      <c r="B45" s="137" t="s">
        <v>188</v>
      </c>
      <c r="C45" s="139">
        <v>3606.99</v>
      </c>
      <c r="D45" s="138" t="s">
        <v>28</v>
      </c>
      <c r="E45" s="78">
        <v>108</v>
      </c>
    </row>
    <row r="46" spans="1:5" ht="16.8" x14ac:dyDescent="0.3">
      <c r="A46" s="15"/>
      <c r="B46" s="137" t="s">
        <v>190</v>
      </c>
      <c r="C46" s="139">
        <v>2704.99</v>
      </c>
      <c r="D46" s="138" t="s">
        <v>28</v>
      </c>
      <c r="E46" s="78">
        <v>72</v>
      </c>
    </row>
    <row r="47" spans="1:5" ht="27.45" customHeight="1" x14ac:dyDescent="0.3">
      <c r="A47" s="15"/>
      <c r="B47" s="140">
        <v>1804</v>
      </c>
      <c r="C47" s="141" t="s">
        <v>85</v>
      </c>
      <c r="D47" s="138" t="s">
        <v>28</v>
      </c>
      <c r="E47" s="80">
        <v>0</v>
      </c>
    </row>
    <row r="48" spans="1:5" ht="26.25" customHeight="1" x14ac:dyDescent="0.3">
      <c r="A48" s="61" t="s">
        <v>73</v>
      </c>
      <c r="B48" s="228" t="s">
        <v>179</v>
      </c>
      <c r="C48" s="228"/>
      <c r="D48" s="229"/>
      <c r="E48" s="14">
        <f>E30+E31-E32-E33-E34-E35-E36</f>
        <v>0</v>
      </c>
    </row>
    <row r="49" spans="1:5" ht="17.399999999999999" x14ac:dyDescent="0.3">
      <c r="A49" s="62"/>
      <c r="B49" s="290" t="s">
        <v>29</v>
      </c>
      <c r="C49" s="290"/>
      <c r="D49" s="291"/>
      <c r="E49" s="30" t="str">
        <f>IF(E39="Eligible",IF(E37&gt;0,E43,IF(AND(E48&gt;=3607,E48&lt;=4508.99),E44,IF(AND(E48&gt;=2705,E48&lt;=3606.99),E45,IF(AND(E48&gt;=1804.01,E48&lt;=2704.99),E46,0))))," ")</f>
        <v xml:space="preserve"> </v>
      </c>
    </row>
    <row r="50" spans="1:5" ht="32.700000000000003" customHeight="1" thickBot="1" x14ac:dyDescent="0.35">
      <c r="A50" s="292" t="s">
        <v>37</v>
      </c>
      <c r="B50" s="292"/>
      <c r="C50" s="292"/>
      <c r="D50" s="292"/>
      <c r="E50" s="63"/>
    </row>
    <row r="51" spans="1:5" ht="32.700000000000003" customHeight="1" thickTop="1" x14ac:dyDescent="0.3">
      <c r="A51" s="232" t="s">
        <v>127</v>
      </c>
      <c r="B51" s="232"/>
      <c r="C51" s="232"/>
      <c r="D51" s="232"/>
      <c r="E51" s="232"/>
    </row>
    <row r="52" spans="1:5" ht="17.399999999999999" x14ac:dyDescent="0.3">
      <c r="A52" s="64"/>
      <c r="B52" s="233" t="s">
        <v>88</v>
      </c>
      <c r="C52" s="233"/>
      <c r="D52" s="234"/>
      <c r="E52" s="37">
        <f>IF(E28+E12&gt;65,ROUNDDOWN(((E10+E11)-(E13+E14+E32))+((E28+E12-65)/2)-C46,0),E23)</f>
        <v>0</v>
      </c>
    </row>
    <row r="53" spans="1:5" ht="37.5" customHeight="1" thickBot="1" x14ac:dyDescent="0.35">
      <c r="A53" s="207" t="s">
        <v>57</v>
      </c>
      <c r="B53" s="207"/>
      <c r="C53" s="207"/>
      <c r="D53" s="207"/>
      <c r="E53" s="207"/>
    </row>
    <row r="54" spans="1:5" ht="21.45" customHeight="1" thickTop="1" x14ac:dyDescent="0.3">
      <c r="A54" s="268" t="s">
        <v>60</v>
      </c>
      <c r="B54" s="293"/>
      <c r="C54" s="293"/>
      <c r="D54" s="293"/>
      <c r="E54" s="293"/>
    </row>
    <row r="55" spans="1:5" x14ac:dyDescent="0.3">
      <c r="A55" s="238" t="s">
        <v>69</v>
      </c>
      <c r="B55" s="239"/>
      <c r="C55" s="239"/>
      <c r="D55" s="240"/>
      <c r="E55" s="52">
        <f>E10+E11</f>
        <v>0</v>
      </c>
    </row>
    <row r="56" spans="1:5" x14ac:dyDescent="0.3">
      <c r="A56" s="238" t="s">
        <v>72</v>
      </c>
      <c r="B56" s="239"/>
      <c r="C56" s="239"/>
      <c r="D56" s="240"/>
      <c r="E56" s="52">
        <f>E12</f>
        <v>0</v>
      </c>
    </row>
    <row r="57" spans="1:5" x14ac:dyDescent="0.3">
      <c r="A57" s="238" t="s">
        <v>61</v>
      </c>
      <c r="B57" s="239"/>
      <c r="C57" s="239"/>
      <c r="D57" s="240"/>
      <c r="E57" s="52">
        <f>0-(E13+E14)</f>
        <v>0</v>
      </c>
    </row>
    <row r="58" spans="1:5" x14ac:dyDescent="0.3">
      <c r="A58" s="241" t="s">
        <v>62</v>
      </c>
      <c r="B58" s="242"/>
      <c r="C58" s="242"/>
      <c r="D58" s="243"/>
      <c r="E58" s="52">
        <f>0-E23</f>
        <v>0</v>
      </c>
    </row>
    <row r="59" spans="1:5" ht="15" x14ac:dyDescent="0.3">
      <c r="A59" s="244" t="s">
        <v>63</v>
      </c>
      <c r="B59" s="245"/>
      <c r="C59" s="245"/>
      <c r="D59" s="246"/>
      <c r="E59" s="12">
        <f>E55+E56+E57+E58</f>
        <v>0</v>
      </c>
    </row>
    <row r="60" spans="1:5" ht="21.45" customHeight="1" x14ac:dyDescent="0.3">
      <c r="A60" s="266" t="s">
        <v>71</v>
      </c>
      <c r="B60" s="266"/>
      <c r="C60" s="266"/>
      <c r="D60" s="266"/>
      <c r="E60" s="266"/>
    </row>
    <row r="61" spans="1:5" x14ac:dyDescent="0.3">
      <c r="A61" s="238" t="s">
        <v>69</v>
      </c>
      <c r="B61" s="239"/>
      <c r="C61" s="239"/>
      <c r="D61" s="240"/>
      <c r="E61" s="52">
        <f>E10+E11</f>
        <v>0</v>
      </c>
    </row>
    <row r="62" spans="1:5" x14ac:dyDescent="0.3">
      <c r="A62" s="238" t="s">
        <v>64</v>
      </c>
      <c r="B62" s="239"/>
      <c r="C62" s="239"/>
      <c r="D62" s="240"/>
      <c r="E62" s="52">
        <f>E27+E28</f>
        <v>0</v>
      </c>
    </row>
    <row r="63" spans="1:5" x14ac:dyDescent="0.3">
      <c r="A63" s="238" t="s">
        <v>72</v>
      </c>
      <c r="B63" s="239"/>
      <c r="C63" s="239"/>
      <c r="D63" s="240"/>
      <c r="E63" s="52">
        <f>E12</f>
        <v>0</v>
      </c>
    </row>
    <row r="64" spans="1:5" x14ac:dyDescent="0.3">
      <c r="A64" s="238" t="s">
        <v>61</v>
      </c>
      <c r="B64" s="239"/>
      <c r="C64" s="239"/>
      <c r="D64" s="240"/>
      <c r="E64" s="52">
        <f>0-(E13+E14)</f>
        <v>0</v>
      </c>
    </row>
    <row r="65" spans="1:5" x14ac:dyDescent="0.3">
      <c r="A65" s="241" t="s">
        <v>59</v>
      </c>
      <c r="B65" s="242"/>
      <c r="C65" s="242"/>
      <c r="D65" s="243"/>
      <c r="E65" s="54">
        <f>IF(E40="Eligible",0-E49, 0)</f>
        <v>0</v>
      </c>
    </row>
    <row r="66" spans="1:5" x14ac:dyDescent="0.3">
      <c r="A66" s="238" t="s">
        <v>66</v>
      </c>
      <c r="B66" s="239"/>
      <c r="C66" s="239"/>
      <c r="D66" s="240"/>
      <c r="E66" s="54">
        <f>IF(E39="Eligible",0,0-E52)</f>
        <v>0</v>
      </c>
    </row>
    <row r="67" spans="1:5" ht="15" x14ac:dyDescent="0.3">
      <c r="A67" s="244" t="s">
        <v>65</v>
      </c>
      <c r="B67" s="245"/>
      <c r="C67" s="245"/>
      <c r="D67" s="246"/>
      <c r="E67" s="12">
        <f>E61+E63+E62+E64+E65+E66</f>
        <v>0</v>
      </c>
    </row>
    <row r="68" spans="1:5" ht="28.95" customHeight="1" x14ac:dyDescent="0.3">
      <c r="A68" s="294" t="s">
        <v>70</v>
      </c>
      <c r="B68" s="295"/>
      <c r="C68" s="295"/>
      <c r="D68" s="296"/>
      <c r="E68" s="38">
        <f>E67-E59</f>
        <v>0</v>
      </c>
    </row>
  </sheetData>
  <sheetProtection sheet="1" selectLockedCells="1"/>
  <mergeCells count="64">
    <mergeCell ref="A68:D68"/>
    <mergeCell ref="A62:D62"/>
    <mergeCell ref="A63:D63"/>
    <mergeCell ref="A64:D64"/>
    <mergeCell ref="A65:D65"/>
    <mergeCell ref="A66:D66"/>
    <mergeCell ref="A67:D67"/>
    <mergeCell ref="B42:E42"/>
    <mergeCell ref="B48:D48"/>
    <mergeCell ref="A61:D61"/>
    <mergeCell ref="A50:D50"/>
    <mergeCell ref="A51:E51"/>
    <mergeCell ref="B52:D52"/>
    <mergeCell ref="A53:E53"/>
    <mergeCell ref="A54:E54"/>
    <mergeCell ref="A55:D55"/>
    <mergeCell ref="A56:D56"/>
    <mergeCell ref="B49:D49"/>
    <mergeCell ref="A57:D57"/>
    <mergeCell ref="A58:D58"/>
    <mergeCell ref="A59:D59"/>
    <mergeCell ref="A60:E60"/>
    <mergeCell ref="B38:D38"/>
    <mergeCell ref="B40:D40"/>
    <mergeCell ref="A41:D41"/>
    <mergeCell ref="C24:D24"/>
    <mergeCell ref="A26:D26"/>
    <mergeCell ref="B27:D27"/>
    <mergeCell ref="B28:D28"/>
    <mergeCell ref="A29:D29"/>
    <mergeCell ref="B30:D30"/>
    <mergeCell ref="B32:D32"/>
    <mergeCell ref="B33:D33"/>
    <mergeCell ref="B34:D34"/>
    <mergeCell ref="B35:D35"/>
    <mergeCell ref="B36:D36"/>
    <mergeCell ref="B37:C37"/>
    <mergeCell ref="B14:D15"/>
    <mergeCell ref="A16:D16"/>
    <mergeCell ref="B31:D31"/>
    <mergeCell ref="B18:D18"/>
    <mergeCell ref="A19:D19"/>
    <mergeCell ref="A20:D20"/>
    <mergeCell ref="B21:D21"/>
    <mergeCell ref="B22:D22"/>
    <mergeCell ref="B23:B24"/>
    <mergeCell ref="C23:D23"/>
    <mergeCell ref="B17:D17"/>
    <mergeCell ref="B10:D10"/>
    <mergeCell ref="B11:D11"/>
    <mergeCell ref="B12:D12"/>
    <mergeCell ref="B13:D13"/>
    <mergeCell ref="A5:B5"/>
    <mergeCell ref="C5:E5"/>
    <mergeCell ref="A6:B6"/>
    <mergeCell ref="C6:E6"/>
    <mergeCell ref="A7:E7"/>
    <mergeCell ref="A8:E8"/>
    <mergeCell ref="A9:D9"/>
    <mergeCell ref="A1:E1"/>
    <mergeCell ref="A2:E2"/>
    <mergeCell ref="A3:E3"/>
    <mergeCell ref="A4:B4"/>
    <mergeCell ref="D4:E4"/>
  </mergeCells>
  <phoneticPr fontId="37" type="noConversion"/>
  <pageMargins left="0.25" right="0.25" top="0.5" bottom="0.75" header="0.3" footer="0.3"/>
  <pageSetup orientation="portrait" r:id="rId1"/>
  <headerFooter differentFirst="1">
    <oddHeader>&amp;L&amp;"Calibri,Italic"&amp;9&amp;K000000Spend Down or Ticket to Work Health Assurance Calculation for Couples, one blind_x000D__x000D_</oddHeader>
    <oddFooter>&amp;L&amp;8Effective 4/1/25&amp;C&amp;"Calibri,Regular"&amp;K000000
&amp;R&amp;"Calibri,Regular"&amp;8&amp;K000000 Page &amp;P
Revised 3/18/25</oddFooter>
    <firstHeader>&amp;C&amp;"-,Bold"&amp;18Spend Down or Ticket to Work Health Assurance</firstHeader>
    <firstFooter xml:space="preserve">&amp;L&amp;8Effective 4/1/25&amp;R&amp;8Revised 3/18/25
</firstFooter>
  </headerFooter>
  <drawing r:id="rId2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Instructions</vt:lpstr>
      <vt:lpstr> Single Adult</vt:lpstr>
      <vt:lpstr>Couple, both disabled</vt:lpstr>
      <vt:lpstr>Couple, 1 with disability</vt:lpstr>
      <vt:lpstr>Disabled Child &lt; 18 </vt:lpstr>
      <vt:lpstr> Blind Single</vt:lpstr>
      <vt:lpstr>Couple, 1 blind</vt:lpstr>
      <vt:lpstr>'Couple, both disabled'!Print_Area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Standifer</dc:creator>
  <cp:lastModifiedBy>Witherbee, Anna</cp:lastModifiedBy>
  <cp:lastPrinted>2026-02-25T16:51:47Z</cp:lastPrinted>
  <dcterms:created xsi:type="dcterms:W3CDTF">2008-08-13T16:24:15Z</dcterms:created>
  <dcterms:modified xsi:type="dcterms:W3CDTF">2026-03-23T15:55:53Z</dcterms:modified>
</cp:coreProperties>
</file>