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mzhomedir-v\HomeDir\mzleona\Desktop\"/>
    </mc:Choice>
  </mc:AlternateContent>
  <bookViews>
    <workbookView xWindow="0" yWindow="735" windowWidth="29400" windowHeight="17325"/>
  </bookViews>
  <sheets>
    <sheet name="Instructions" sheetId="12" r:id="rId1"/>
    <sheet name=" Single Adult" sheetId="11" r:id="rId2"/>
    <sheet name="Couple, both disabled" sheetId="2" r:id="rId3"/>
    <sheet name="Couple, 1 with disability" sheetId="6" r:id="rId4"/>
    <sheet name="Disabled Child &lt; 18 " sheetId="7" r:id="rId5"/>
    <sheet name=" Blind Single" sheetId="9" r:id="rId6"/>
    <sheet name="Couple, 1 blind" sheetId="10" r:id="rId7"/>
  </sheets>
  <definedNames>
    <definedName name="_xlnm.Print_Area" localSheetId="2">'Couple, both disabled'!$A$1:$E$82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7" l="1"/>
  <c r="D25" i="7" s="1"/>
  <c r="D16" i="7"/>
  <c r="D24" i="7" s="1"/>
  <c r="E33" i="7"/>
  <c r="D13" i="7" l="1"/>
  <c r="D21" i="7" s="1"/>
  <c r="D14" i="7"/>
  <c r="D22" i="7" s="1"/>
  <c r="D15" i="7"/>
  <c r="D23" i="7" s="1"/>
  <c r="E20" i="7" l="1"/>
  <c r="E57" i="11"/>
  <c r="E56" i="11"/>
  <c r="E55" i="11"/>
  <c r="E51" i="11"/>
  <c r="E50" i="11"/>
  <c r="B42" i="11"/>
  <c r="E33" i="11"/>
  <c r="E34" i="11" s="1"/>
  <c r="E30" i="11"/>
  <c r="E29" i="11"/>
  <c r="E28" i="11"/>
  <c r="E27" i="11"/>
  <c r="E26" i="11"/>
  <c r="E25" i="11"/>
  <c r="E16" i="11"/>
  <c r="E17" i="11" s="1"/>
  <c r="E18" i="11" s="1"/>
  <c r="E19" i="11" s="1"/>
  <c r="E31" i="10"/>
  <c r="E17" i="10"/>
  <c r="E19" i="10"/>
  <c r="E20" i="10"/>
  <c r="E18" i="10" s="1"/>
  <c r="E22" i="10" s="1"/>
  <c r="E23" i="10" s="1"/>
  <c r="E16" i="9"/>
  <c r="E29" i="10"/>
  <c r="E30" i="10"/>
  <c r="E32" i="10"/>
  <c r="E33" i="10"/>
  <c r="E35" i="10"/>
  <c r="E34" i="10"/>
  <c r="E37" i="10"/>
  <c r="E40" i="10" s="1"/>
  <c r="E38" i="10"/>
  <c r="E39" i="10"/>
  <c r="E48" i="10"/>
  <c r="B47" i="10"/>
  <c r="E55" i="10"/>
  <c r="E56" i="10"/>
  <c r="E57" i="10"/>
  <c r="E61" i="10"/>
  <c r="E62" i="10"/>
  <c r="E63" i="10"/>
  <c r="E64" i="10"/>
  <c r="E25" i="9"/>
  <c r="E26" i="9"/>
  <c r="E27" i="9"/>
  <c r="E30" i="9"/>
  <c r="E28" i="9"/>
  <c r="E29" i="9"/>
  <c r="E33" i="9"/>
  <c r="E44" i="9" s="1"/>
  <c r="B43" i="9"/>
  <c r="E51" i="9"/>
  <c r="E52" i="9"/>
  <c r="E56" i="9"/>
  <c r="E57" i="9"/>
  <c r="E58" i="9"/>
  <c r="E39" i="7"/>
  <c r="E64" i="6"/>
  <c r="E63" i="6"/>
  <c r="E62" i="6"/>
  <c r="E61" i="6"/>
  <c r="E57" i="6"/>
  <c r="E56" i="6"/>
  <c r="E55" i="6"/>
  <c r="B47" i="6"/>
  <c r="E35" i="6"/>
  <c r="E34" i="6"/>
  <c r="E33" i="6"/>
  <c r="E32" i="6"/>
  <c r="E31" i="6"/>
  <c r="E17" i="6"/>
  <c r="E19" i="6"/>
  <c r="E20" i="6"/>
  <c r="E29" i="6"/>
  <c r="E38" i="6" s="1"/>
  <c r="E48" i="6" s="1"/>
  <c r="E19" i="2"/>
  <c r="E20" i="2" s="1"/>
  <c r="E36" i="2"/>
  <c r="E72" i="2"/>
  <c r="E67" i="2"/>
  <c r="B51" i="2"/>
  <c r="E18" i="6" l="1"/>
  <c r="E30" i="6" s="1"/>
  <c r="E36" i="10"/>
  <c r="E52" i="11"/>
  <c r="E53" i="11" s="1"/>
  <c r="E47" i="11"/>
  <c r="E35" i="9"/>
  <c r="E31" i="9"/>
  <c r="E32" i="9" s="1"/>
  <c r="E36" i="9" s="1"/>
  <c r="E45" i="9" s="1"/>
  <c r="E17" i="9"/>
  <c r="E18" i="9" s="1"/>
  <c r="E19" i="9" s="1"/>
  <c r="E71" i="2"/>
  <c r="E21" i="2"/>
  <c r="E22" i="2" s="1"/>
  <c r="E66" i="2"/>
  <c r="E27" i="7"/>
  <c r="E21" i="6"/>
  <c r="E22" i="6" s="1"/>
  <c r="E23" i="6" s="1"/>
  <c r="E58" i="6" s="1"/>
  <c r="E59" i="6" s="1"/>
  <c r="E39" i="6"/>
  <c r="E36" i="6"/>
  <c r="E37" i="6" s="1"/>
  <c r="E43" i="11"/>
  <c r="E31" i="11"/>
  <c r="E32" i="11" s="1"/>
  <c r="E35" i="11" s="1"/>
  <c r="E59" i="11" s="1"/>
  <c r="E49" i="10"/>
  <c r="E65" i="10"/>
  <c r="E58" i="10"/>
  <c r="E59" i="10" s="1"/>
  <c r="E52" i="10"/>
  <c r="E66" i="10" s="1"/>
  <c r="E67" i="10" s="1"/>
  <c r="E68" i="10" s="1"/>
  <c r="E21" i="10"/>
  <c r="E52" i="6" l="1"/>
  <c r="E59" i="9"/>
  <c r="E53" i="9"/>
  <c r="E54" i="9" s="1"/>
  <c r="E48" i="9"/>
  <c r="E60" i="9" s="1"/>
  <c r="E61" i="9" s="1"/>
  <c r="E62" i="9" s="1"/>
  <c r="E40" i="6"/>
  <c r="E49" i="6" s="1"/>
  <c r="E65" i="6" s="1"/>
  <c r="E68" i="2"/>
  <c r="E69" i="2" s="1"/>
  <c r="E28" i="7"/>
  <c r="E29" i="7" s="1"/>
  <c r="E44" i="11"/>
  <c r="E58" i="11" s="1"/>
  <c r="E60" i="11" s="1"/>
  <c r="E61" i="11" s="1"/>
  <c r="E66" i="6" l="1"/>
  <c r="E35" i="2"/>
  <c r="E33" i="2"/>
  <c r="E30" i="7"/>
  <c r="E31" i="7" s="1"/>
  <c r="E67" i="6"/>
  <c r="E68" i="6" s="1"/>
  <c r="E32" i="7" l="1"/>
  <c r="E34" i="7" s="1"/>
  <c r="E37" i="7" s="1"/>
  <c r="E40" i="7" s="1"/>
  <c r="E42" i="7" s="1"/>
  <c r="E34" i="2"/>
  <c r="E32" i="2"/>
  <c r="E37" i="2"/>
  <c r="E31" i="2"/>
  <c r="E57" i="2" s="1"/>
  <c r="E30" i="2"/>
  <c r="E73" i="2"/>
  <c r="E40" i="2" l="1"/>
  <c r="E38" i="2"/>
  <c r="E39" i="2" s="1"/>
  <c r="E53" i="2" l="1"/>
  <c r="E42" i="2"/>
  <c r="E43" i="2" s="1"/>
  <c r="E44" i="2" l="1"/>
  <c r="E54" i="2" s="1"/>
  <c r="E74" i="2" s="1"/>
  <c r="E75" i="2" l="1"/>
  <c r="E76" i="2" s="1"/>
  <c r="E77" i="2" s="1"/>
</calcChain>
</file>

<file path=xl/sharedStrings.xml><?xml version="1.0" encoding="utf-8"?>
<sst xmlns="http://schemas.openxmlformats.org/spreadsheetml/2006/main" count="557" uniqueCount="193">
  <si>
    <t>Date</t>
  </si>
  <si>
    <t>Client Name</t>
  </si>
  <si>
    <t>Benefits Specialist Name</t>
  </si>
  <si>
    <t>Enter your values in the cells tinted purple. Blue tinted cells will calculate automatically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</si>
  <si>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</si>
  <si>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</si>
  <si>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</si>
  <si>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</si>
  <si>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</si>
  <si>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</si>
  <si>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</si>
  <si>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</si>
  <si>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</si>
  <si>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</si>
  <si>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</si>
  <si>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r>
      <t xml:space="preserve">Amount of unearned income each month </t>
    </r>
    <r>
      <rPr>
        <sz val="9"/>
        <color theme="1"/>
        <rFont val="Arial"/>
        <family val="2"/>
      </rPr>
      <t>(NOT including any SSDI or SSI)</t>
    </r>
  </si>
  <si>
    <t>Amount of dental and/or optical insurance premium each month</t>
  </si>
  <si>
    <t>TWHA SSDI Standard Deduction</t>
  </si>
  <si>
    <t>12)</t>
  </si>
  <si>
    <t>13)</t>
  </si>
  <si>
    <t>14)</t>
  </si>
  <si>
    <t>TWHA Eligibility</t>
  </si>
  <si>
    <t>TWHA net income limit</t>
  </si>
  <si>
    <r>
      <t xml:space="preserve">TWHA deduction for dental/optical insurance </t>
    </r>
    <r>
      <rPr>
        <sz val="9"/>
        <color theme="1"/>
        <rFont val="Arial"/>
        <family val="2"/>
      </rPr>
      <t>(not less than $75)</t>
    </r>
  </si>
  <si>
    <r>
      <t xml:space="preserve">TWHA deduction for Impairment-Related Work Expenses </t>
    </r>
    <r>
      <rPr>
        <sz val="9"/>
        <color theme="1"/>
        <rFont val="Arial"/>
        <family val="2"/>
      </rPr>
      <t>(half of wages)</t>
    </r>
  </si>
  <si>
    <t>15)</t>
  </si>
  <si>
    <t xml:space="preserve">TWHA Gross Income </t>
  </si>
  <si>
    <t>(SSDI, other unearned income, non-sheltered workshop earned income)</t>
  </si>
  <si>
    <t>16)</t>
  </si>
  <si>
    <t>17)</t>
  </si>
  <si>
    <t>18)</t>
  </si>
  <si>
    <t xml:space="preserve"> Gross Income Eligibility</t>
  </si>
  <si>
    <t>TWHA gross income limit</t>
  </si>
  <si>
    <t>Step 4 -TWHA Premium Calculation, If Working</t>
  </si>
  <si>
    <t>Above</t>
  </si>
  <si>
    <t>Premium of</t>
  </si>
  <si>
    <t>Premium</t>
  </si>
  <si>
    <t>Current Calculated Gross Income, if working</t>
  </si>
  <si>
    <t xml:space="preserve">NOTE: This sheet provides only an estimate. This is not an official FSD determination. </t>
  </si>
  <si>
    <t>SSDI plus other unearned income (lines 1 &amp; 2)</t>
  </si>
  <si>
    <t>Step 1 - Unearned Income Amounts</t>
  </si>
  <si>
    <r>
      <t xml:space="preserve">Unearned Income </t>
    </r>
    <r>
      <rPr>
        <sz val="9"/>
        <color theme="1"/>
        <rFont val="Arial"/>
        <family val="2"/>
      </rPr>
      <t>(SSDI and other, except SSI, lines 1 &amp; 2)</t>
    </r>
  </si>
  <si>
    <t>Personal Income Exemption</t>
  </si>
  <si>
    <t>Step 2 - Spend Down Calculation if Not Working</t>
  </si>
  <si>
    <t>Step 3 - Earned Income Amounts</t>
  </si>
  <si>
    <t>Step 4 - TWHA Eligibility If Working</t>
  </si>
  <si>
    <r>
      <t>TWHA Net income</t>
    </r>
    <r>
      <rPr>
        <b/>
        <sz val="9"/>
        <color theme="1"/>
        <rFont val="Arial"/>
        <family val="2"/>
      </rPr>
      <t xml:space="preserve"> (line 10 minus lines 11-15)</t>
    </r>
  </si>
  <si>
    <t>Spend Down Amount, not working</t>
  </si>
  <si>
    <t>Step 5 - Spend Down Calculation if NOT Eligible for TWHA</t>
  </si>
  <si>
    <t>Amount of monthly SSDI benefits</t>
  </si>
  <si>
    <t xml:space="preserve"> (State of Missouri only)</t>
  </si>
  <si>
    <t>Client Names</t>
  </si>
  <si>
    <t>Monthly unearned income (OTHER THAN SSDI or SSI) of both spouses</t>
  </si>
  <si>
    <t>Total SSDI and other unearned income (lines 1a,1b, &amp; 2)</t>
  </si>
  <si>
    <r>
      <t xml:space="preserve">Unearned Income </t>
    </r>
    <r>
      <rPr>
        <sz val="9"/>
        <color theme="1"/>
        <rFont val="Arial"/>
        <family val="2"/>
      </rPr>
      <t>(SSDI and other, except SSI, lines 1a, 1b, &amp; 2)</t>
    </r>
  </si>
  <si>
    <t>Spouse 1 TWHA Eligibility</t>
  </si>
  <si>
    <t>Spouse 2 TWHA Eligibility</t>
  </si>
  <si>
    <t>Amount of monthly SSDI benefits of person with a disability</t>
  </si>
  <si>
    <t>Monthly earned income of spouse with no disability</t>
  </si>
  <si>
    <t>Countable Earned Income of spouse with no disability</t>
  </si>
  <si>
    <t>19)</t>
  </si>
  <si>
    <r>
      <t>TWHA Net income</t>
    </r>
    <r>
      <rPr>
        <b/>
        <sz val="9"/>
        <color theme="1"/>
        <rFont val="Arial"/>
        <family val="2"/>
      </rPr>
      <t xml:space="preserve"> (line 12 &amp; 13 minus lines 14-18)</t>
    </r>
  </si>
  <si>
    <t>20)</t>
  </si>
  <si>
    <r>
      <t xml:space="preserve">TWHA Gross Income </t>
    </r>
    <r>
      <rPr>
        <sz val="9"/>
        <color theme="1"/>
        <rFont val="Arial"/>
        <family val="2"/>
      </rPr>
      <t>(SSDI, other unearned income, non-sheltered workshop earned income)</t>
    </r>
  </si>
  <si>
    <r>
      <t xml:space="preserve">Current Calculated Gross Income, if working </t>
    </r>
    <r>
      <rPr>
        <sz val="9"/>
        <color theme="1"/>
        <rFont val="Arial"/>
        <family val="2"/>
      </rPr>
      <t>(line 20, above)</t>
    </r>
  </si>
  <si>
    <t>3a - Monthly dental/optical insurance premium for spouse #1</t>
  </si>
  <si>
    <t>3b - Monthly dental/optical insurance premium for spouse #2</t>
  </si>
  <si>
    <t>1a - Amount each month in SSDI benefits, Spouse 1</t>
  </si>
  <si>
    <t>1b - Amount each month in SSDI benefits, Spouse 2</t>
  </si>
  <si>
    <t>12a - TWHA SSDI Standard Deduction for Spouse 1</t>
  </si>
  <si>
    <r>
      <t xml:space="preserve">13a - TWHA deduction for dental/optical insurance, Spouse 1 </t>
    </r>
    <r>
      <rPr>
        <sz val="9"/>
        <color theme="1"/>
        <rFont val="Arial"/>
        <family val="2"/>
      </rPr>
      <t>(not less than $75)</t>
    </r>
  </si>
  <si>
    <t>12b - TWHA SSDI Standard Deduction for Spouse 2</t>
  </si>
  <si>
    <r>
      <t xml:space="preserve">13b - TWHA deduction for dental/optical insurance, Spouse 2 </t>
    </r>
    <r>
      <rPr>
        <sz val="9"/>
        <color theme="1"/>
        <rFont val="Arial"/>
        <family val="2"/>
      </rPr>
      <t>(not less than $75)</t>
    </r>
  </si>
  <si>
    <t>End Result</t>
  </si>
  <si>
    <t>SSDI Benefits &amp; Unearned</t>
  </si>
  <si>
    <t>TWHA Premium (if any)</t>
  </si>
  <si>
    <t>Current Available Income</t>
  </si>
  <si>
    <t>Insurance Premiums</t>
  </si>
  <si>
    <t>Current Monthly Spend Down</t>
  </si>
  <si>
    <t>Current Available Monthly Income</t>
  </si>
  <si>
    <t>Earned Income</t>
  </si>
  <si>
    <t>Available Monthly Income if working</t>
  </si>
  <si>
    <t>Spend Down with earned income (if any)</t>
  </si>
  <si>
    <t xml:space="preserve"> </t>
  </si>
  <si>
    <t>Potential Available Income (if working)</t>
  </si>
  <si>
    <t>SSDI Benefits &amp; Unearned Income</t>
  </si>
  <si>
    <t>Increase in Available Monthly Income</t>
  </si>
  <si>
    <t>Potential Available Income</t>
  </si>
  <si>
    <t>Spouse's Earned Income</t>
  </si>
  <si>
    <t>21)</t>
  </si>
  <si>
    <r>
      <t>Countable Income, if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6 &amp; 7 minus lines 4, 5 &amp; 8 )</t>
    </r>
  </si>
  <si>
    <t>Net Income Eligibility</t>
  </si>
  <si>
    <t>7) b  - Earned income exemption ($65 plus half of amount &gt; $65)</t>
  </si>
  <si>
    <t>7) a  - Earned income of spouse with no disability (line 3)</t>
  </si>
  <si>
    <t>Countable Earned Income of spouse with no disability (7a minus 7b)</t>
  </si>
  <si>
    <r>
      <t>Countable Income,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3,4, &amp; 6 )</t>
    </r>
  </si>
  <si>
    <r>
      <t>Countable Income, if BOTH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3a, 3b, 4, &amp; 6 )</t>
    </r>
  </si>
  <si>
    <t>Amount of monthly Medicare (SMI) or other health insurance premiums (besides dental/optical)</t>
  </si>
  <si>
    <r>
      <t>Other health insurance premiums</t>
    </r>
    <r>
      <rPr>
        <sz val="10"/>
        <color theme="1"/>
        <rFont val="Arial"/>
        <family val="2"/>
      </rPr>
      <t xml:space="preserve"> (line 4)</t>
    </r>
  </si>
  <si>
    <t>Amount of monthly Medicare (SMI) or other health insurance premiums (besides dental/optical) for both spouses</t>
  </si>
  <si>
    <t>Monthly dental and/or optical insurance premium of person with a disability</t>
  </si>
  <si>
    <t>Amount of monthly Medicare (SMI) or other health insurance premiums (besides dental/optical) of both spouses</t>
  </si>
  <si>
    <t>or less</t>
  </si>
  <si>
    <t xml:space="preserve">1) </t>
  </si>
  <si>
    <t>(SSI recipients who become employed should remain eligible for non-Spend Down Medicaid in the the 1619(a) or (b) category)</t>
  </si>
  <si>
    <t xml:space="preserve">For couples who are eligible for TWHA, the premium will depend on which of the following ranges match their TWHA Gross Income. </t>
  </si>
  <si>
    <t xml:space="preserve">For individuals who are eligible for TWHA, the premium will depend on which of the following ranges match their TWHA Gross Income. </t>
  </si>
  <si>
    <r>
      <t xml:space="preserve">Spend Down Amount </t>
    </r>
    <r>
      <rPr>
        <sz val="11"/>
        <color theme="1"/>
        <rFont val="Arial"/>
        <family val="2"/>
      </rPr>
      <t>(</t>
    </r>
    <r>
      <rPr>
        <sz val="9"/>
        <color theme="1"/>
        <rFont val="Arial Narrow"/>
        <family val="2"/>
      </rPr>
      <t>if a negative number, amount is zero</t>
    </r>
    <r>
      <rPr>
        <sz val="11"/>
        <color theme="1"/>
        <rFont val="Arial"/>
        <family val="2"/>
      </rPr>
      <t>)</t>
    </r>
  </si>
  <si>
    <t>Disabled Child's Name</t>
  </si>
  <si>
    <t>number of parents (natural or adoptive) in the home</t>
  </si>
  <si>
    <t>2a)</t>
  </si>
  <si>
    <t>total number of children under age 18 in the home</t>
  </si>
  <si>
    <t>2b)</t>
  </si>
  <si>
    <t>how many of the above children are disabled?</t>
  </si>
  <si>
    <t>6a)</t>
  </si>
  <si>
    <t>6b)</t>
  </si>
  <si>
    <t>6c)</t>
  </si>
  <si>
    <t>6d)</t>
  </si>
  <si>
    <t>Step 2 - Deemed Income</t>
  </si>
  <si>
    <t>Total allocation for non-disabled children</t>
  </si>
  <si>
    <t>8a) allocation for non-disabled child 1</t>
  </si>
  <si>
    <t>8b) allocation for non-disabled child 2</t>
  </si>
  <si>
    <t>8c) allocation for non-disabled child 3</t>
  </si>
  <si>
    <t>8d) allocation for non-disabled child 4</t>
  </si>
  <si>
    <t>parents' unearned income for deeming</t>
  </si>
  <si>
    <t xml:space="preserve">Allocation from earned income for non-disabled children </t>
  </si>
  <si>
    <t>Personal income exemption from earned income</t>
  </si>
  <si>
    <t>Earned income exemption ($65 plus half of amount &gt; $65)</t>
  </si>
  <si>
    <t>parents' earned income for deeming</t>
  </si>
  <si>
    <t>total countable parent income for deeming</t>
  </si>
  <si>
    <t>Parental Living Allowance</t>
  </si>
  <si>
    <t>total deemed parental income</t>
  </si>
  <si>
    <t>disabled child's unearned</t>
  </si>
  <si>
    <t>deemed parental income for each disabled child</t>
  </si>
  <si>
    <t>Health Insurance premium</t>
  </si>
  <si>
    <t>22)</t>
  </si>
  <si>
    <t>Countable Income</t>
  </si>
  <si>
    <t>23)</t>
  </si>
  <si>
    <t>Non-Spend Down income limit</t>
  </si>
  <si>
    <t>24)</t>
  </si>
  <si>
    <t>Do not enter SSI Benefits as those are excluded (State of Missouri only)</t>
  </si>
  <si>
    <t>Do not enter SSI Benefits as those are excluded</t>
  </si>
  <si>
    <t>MO HealthNet for Disabled Child Spend Down Calculation</t>
  </si>
  <si>
    <t xml:space="preserve">                                     Calulation for Married Couples, only one disabled</t>
  </si>
  <si>
    <t xml:space="preserve">    Calculation for Single Adults</t>
  </si>
  <si>
    <t>Gross Income Eligibility</t>
  </si>
  <si>
    <t xml:space="preserve">      Calculation for Married Couples, both disabled</t>
  </si>
  <si>
    <t xml:space="preserve">             Do not enter SSI Benefits as those are excluded (State of Missouri only)</t>
  </si>
  <si>
    <t>For couples who are working but are not eligible for TWHA (or prefer Spend Down), the Spend Down will increase $1 for every $2 of non-sheltered workshop earned income above $65.</t>
  </si>
  <si>
    <t>For individuals who are working but are not eligible for TWHA (or prefer Spend Down), the Spend Down will increase $1 for every $2 of non-sheltered workshop earned income above $65.</t>
  </si>
  <si>
    <t>Amount of monthly Social Security benefits</t>
  </si>
  <si>
    <t>Do not enter Blind Pension grant or SSI Benefits as those are excluded (State of Missouri only)</t>
  </si>
  <si>
    <t xml:space="preserve">    Calculation for Blind Single Adults</t>
  </si>
  <si>
    <t>Monthly unearned income (OTHER THAN SS, SSI, or BP) of both spouses</t>
  </si>
  <si>
    <t>Amount of monthly Social Security benefits of blind spouse</t>
  </si>
  <si>
    <t xml:space="preserve">             Do not enter Blind Pension grant SSI Benefits as those are excluded (State of Missouri only)</t>
  </si>
  <si>
    <t xml:space="preserve">                                     Calulation for Married Couples, only one blind</t>
  </si>
  <si>
    <r>
      <t xml:space="preserve">TWHA Gross Income </t>
    </r>
    <r>
      <rPr>
        <sz val="9"/>
        <color theme="1"/>
        <rFont val="Arial"/>
        <family val="2"/>
      </rPr>
      <t>(SSDI, other unearned income, non-sheltered workshop income)</t>
    </r>
  </si>
  <si>
    <t>Step 1 -Enter Monthly Income and Health Insurance Amounts</t>
  </si>
  <si>
    <t>Step 3 - Spend Down Budget</t>
  </si>
  <si>
    <t>Spend Down (monthly)</t>
  </si>
  <si>
    <t xml:space="preserve">parents monthly unearned income (other than SSI) </t>
  </si>
  <si>
    <t>parents monthly earned income</t>
  </si>
  <si>
    <t>disabled child's monthly income (other than SSI)</t>
  </si>
  <si>
    <t>monthly income of non-disabled child</t>
  </si>
  <si>
    <r>
      <t>Amount you earn monthly from any other job</t>
    </r>
    <r>
      <rPr>
        <sz val="9"/>
        <color theme="1"/>
        <rFont val="Arial"/>
        <family val="2"/>
      </rPr>
      <t xml:space="preserve"> (non-sheltered workshop)</t>
    </r>
  </si>
  <si>
    <t>Amount you earn monthly from a sheltered workshop</t>
  </si>
  <si>
    <t xml:space="preserve">For individuals who are eligible for TWHA, the monthly premium will depend on which of the following ranges match their TWHA Gross Income. </t>
  </si>
  <si>
    <r>
      <t>9a - Amount Spouse 1 earns monthly from any other job</t>
    </r>
    <r>
      <rPr>
        <sz val="9"/>
        <color theme="1"/>
        <rFont val="Arial"/>
        <family val="2"/>
      </rPr>
      <t xml:space="preserve"> (non-sheltered workshop)</t>
    </r>
  </si>
  <si>
    <r>
      <t>9b - Amount Spouse 2 earns monthly from any other job</t>
    </r>
    <r>
      <rPr>
        <sz val="9"/>
        <color theme="1"/>
        <rFont val="Arial"/>
        <family val="2"/>
      </rPr>
      <t xml:space="preserve"> (non-sheltered workshop)</t>
    </r>
  </si>
  <si>
    <t>8a - Amount Spouse 1 earns monthly from a sheltered workshop</t>
  </si>
  <si>
    <t>8b - Amount Spouse 2 earns monthly from a sheltered workshop</t>
  </si>
  <si>
    <t>Amount person with disability earns monthly from a sheltered workshop</t>
  </si>
  <si>
    <r>
      <t>Amount person with disability earns monthly from any other job</t>
    </r>
    <r>
      <rPr>
        <sz val="9"/>
        <color theme="1"/>
        <rFont val="Arial"/>
        <family val="2"/>
      </rPr>
      <t xml:space="preserve"> (non-sheltered workshop)</t>
    </r>
  </si>
  <si>
    <t xml:space="preserve">                             (Amount by which Countable Income exceeds non-spend down Income limit of $1,526.00)</t>
  </si>
  <si>
    <t xml:space="preserve">                             (Amount by which Countable Income exceeds non-spend down Income limit of $1,397.00)</t>
  </si>
  <si>
    <t xml:space="preserve">                                            (Amount by which Countable Income exceeds non-spend down Income limit of $1,397.00)</t>
  </si>
  <si>
    <t xml:space="preserve">              (Amount by which Countable Income exceeds the non-spend down Income limit of $1,215)</t>
  </si>
  <si>
    <t xml:space="preserve">              (Amount by which Countable Income exceeds the non-spend down Income limit of $1,033)</t>
  </si>
  <si>
    <r>
      <t>Amount of unearned income each month (</t>
    </r>
    <r>
      <rPr>
        <sz val="9"/>
        <color theme="1"/>
        <rFont val="Arial"/>
        <family val="2"/>
      </rPr>
      <t>NOT including any SSDI, SSI, or BP</t>
    </r>
    <r>
      <rPr>
        <sz val="11"/>
        <color theme="1"/>
        <rFont val="Arial"/>
        <family val="2"/>
      </rPr>
      <t>)</t>
    </r>
  </si>
  <si>
    <t>8d) allocation for non-disabled child 5</t>
  </si>
  <si>
    <t>total monthly cost for health insurance that covers the disabled child</t>
  </si>
  <si>
    <t xml:space="preserve">   </t>
  </si>
  <si>
    <t xml:space="preserve">Please email DMH.MedicaidEligibility@dmh.mo.gov if you have any problems with this calculator. </t>
  </si>
  <si>
    <t xml:space="preserve">Note: This sheet provides only an estimate. This is not an official FSD determination. </t>
  </si>
  <si>
    <t xml:space="preserve">Enter your values in the purple tinted cells. The blue tinted cells will calculate automatically. </t>
  </si>
  <si>
    <t>Couple, one blind</t>
  </si>
  <si>
    <t>Single blind adult</t>
  </si>
  <si>
    <t>Disabled child under 18</t>
  </si>
  <si>
    <t>Couple, one with disability</t>
  </si>
  <si>
    <t>Couple, both disabled</t>
  </si>
  <si>
    <t>Single disabled adult</t>
  </si>
  <si>
    <t>Please select the calculator that best fits the DMH consumer's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</si>
</sst>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9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rgb="FF5A2781"/>
      <name val="Arial"/>
      <family val="2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3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indexed="56"/>
      <name val="Calibri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3"/>
      <name val="Calibri"/>
      <family val="2"/>
      <scheme val="minor"/>
    </font>
    <font>
      <sz val="11"/>
      <color indexed="56"/>
      <name val="Calibri"/>
      <family val="2"/>
    </font>
    <font>
      <i/>
      <sz val="9"/>
      <color indexed="56"/>
      <name val="Calibri"/>
      <family val="2"/>
    </font>
    <font>
      <b/>
      <i/>
      <sz val="9"/>
      <color theme="3"/>
      <name val="Calibri"/>
      <family val="2"/>
      <scheme val="minor"/>
    </font>
    <font>
      <b/>
      <sz val="10"/>
      <color theme="1"/>
      <name val="Arial"/>
      <family val="2"/>
    </font>
    <font>
      <i/>
      <sz val="12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 Narrow"/>
      <family val="2"/>
    </font>
    <font>
      <b/>
      <sz val="13"/>
      <name val="Arial"/>
      <family val="2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FF0000"/>
      <name val="Arial"/>
      <family val="2"/>
    </font>
    <font>
      <sz val="20"/>
      <color rgb="FF7030A0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CDC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2C9FB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thick">
        <color theme="4" tint="0.499984740745262"/>
      </bottom>
      <diagonal/>
    </border>
    <border>
      <left/>
      <right/>
      <top/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/>
      </bottom>
      <diagonal/>
    </border>
    <border>
      <left/>
      <right/>
      <top style="thick">
        <color theme="4" tint="0.499984740745262"/>
      </top>
      <bottom style="thin">
        <color auto="1"/>
      </bottom>
      <diagonal/>
    </border>
    <border>
      <left/>
      <right style="thin">
        <color auto="1"/>
      </right>
      <top style="thick">
        <color theme="4" tint="0.499984740745262"/>
      </top>
      <bottom style="thin">
        <color auto="1"/>
      </bottom>
      <diagonal/>
    </border>
    <border>
      <left/>
      <right/>
      <top style="double">
        <color theme="4"/>
      </top>
      <bottom style="thick">
        <color theme="4" tint="0.499984740745262"/>
      </bottom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theme="4"/>
      </bottom>
      <diagonal/>
    </border>
    <border>
      <left/>
      <right style="thin">
        <color auto="1"/>
      </right>
      <top/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double">
        <color theme="4"/>
      </bottom>
      <diagonal/>
    </border>
    <border>
      <left style="thin">
        <color auto="1"/>
      </left>
      <right/>
      <top/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double">
        <color theme="4"/>
      </bottom>
      <diagonal/>
    </border>
    <border>
      <left style="thin">
        <color auto="1"/>
      </left>
      <right/>
      <top/>
      <bottom style="double">
        <color theme="3" tint="0.39994506668294322"/>
      </bottom>
      <diagonal/>
    </border>
    <border>
      <left/>
      <right/>
      <top/>
      <bottom style="double">
        <color theme="3" tint="0.39994506668294322"/>
      </bottom>
      <diagonal/>
    </border>
    <border>
      <left/>
      <right style="thin">
        <color auto="1"/>
      </right>
      <top/>
      <bottom style="double">
        <color theme="3" tint="0.39994506668294322"/>
      </bottom>
      <diagonal/>
    </border>
    <border>
      <left style="thin">
        <color auto="1"/>
      </left>
      <right style="thin">
        <color auto="1"/>
      </right>
      <top/>
      <bottom style="double">
        <color theme="3" tint="0.39994506668294322"/>
      </bottom>
      <diagonal/>
    </border>
    <border>
      <left/>
      <right/>
      <top style="double">
        <color theme="4" tint="-0.24994659260841701"/>
      </top>
      <bottom/>
      <diagonal/>
    </border>
    <border>
      <left style="thin">
        <color auto="1"/>
      </left>
      <right/>
      <top style="thin">
        <color auto="1"/>
      </top>
      <bottom style="double">
        <color theme="4" tint="-0.24994659260841701"/>
      </bottom>
      <diagonal/>
    </border>
    <border>
      <left/>
      <right/>
      <top style="thin">
        <color auto="1"/>
      </top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 tint="-0.24994659260841701"/>
      </bottom>
      <diagonal/>
    </border>
    <border>
      <left/>
      <right/>
      <top style="double">
        <color theme="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0" borderId="8" applyNumberFormat="0" applyFill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44" fontId="2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289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9" fillId="0" borderId="11" xfId="3" applyFont="1" applyBorder="1" applyProtection="1"/>
    <xf numFmtId="164" fontId="15" fillId="4" borderId="4" xfId="1" applyNumberFormat="1" applyFont="1" applyFill="1" applyBorder="1" applyAlignment="1" applyProtection="1">
      <alignment horizontal="right" vertical="center"/>
    </xf>
    <xf numFmtId="164" fontId="17" fillId="2" borderId="4" xfId="1" applyNumberFormat="1" applyFont="1" applyBorder="1" applyAlignment="1" applyProtection="1">
      <alignment horizontal="right" vertical="center"/>
    </xf>
    <xf numFmtId="164" fontId="15" fillId="4" borderId="19" xfId="1" applyNumberFormat="1" applyFont="1" applyFill="1" applyBorder="1" applyAlignment="1" applyProtection="1">
      <alignment horizontal="right" vertical="center"/>
    </xf>
    <xf numFmtId="0" fontId="9" fillId="0" borderId="0" xfId="3" applyFont="1" applyBorder="1" applyProtection="1"/>
    <xf numFmtId="164" fontId="11" fillId="4" borderId="4" xfId="4" applyNumberFormat="1" applyFont="1" applyFill="1" applyBorder="1" applyAlignment="1" applyProtection="1">
      <alignment horizontal="right" vertical="top"/>
    </xf>
    <xf numFmtId="164" fontId="11" fillId="4" borderId="27" xfId="4" applyNumberFormat="1" applyFont="1" applyFill="1" applyBorder="1" applyAlignment="1" applyProtection="1">
      <alignment horizontal="right" vertical="top"/>
    </xf>
    <xf numFmtId="164" fontId="11" fillId="4" borderId="19" xfId="4" applyNumberFormat="1" applyFont="1" applyFill="1" applyBorder="1" applyAlignment="1" applyProtection="1">
      <alignment horizontal="right"/>
    </xf>
    <xf numFmtId="0" fontId="6" fillId="4" borderId="6" xfId="0" applyFont="1" applyFill="1" applyBorder="1" applyAlignment="1">
      <alignment horizontal="right" vertical="center"/>
    </xf>
    <xf numFmtId="7" fontId="6" fillId="4" borderId="7" xfId="5" applyNumberFormat="1" applyFont="1" applyFill="1" applyBorder="1" applyAlignment="1" applyProtection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164" fontId="16" fillId="4" borderId="19" xfId="1" applyNumberFormat="1" applyFont="1" applyFill="1" applyBorder="1" applyAlignment="1" applyProtection="1">
      <alignment horizontal="right" vertical="center"/>
    </xf>
    <xf numFmtId="0" fontId="15" fillId="4" borderId="19" xfId="1" applyNumberFormat="1" applyFont="1" applyFill="1" applyBorder="1" applyAlignment="1" applyProtection="1">
      <alignment horizontal="right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15" fillId="4" borderId="5" xfId="1" applyNumberFormat="1" applyFont="1" applyFill="1" applyBorder="1" applyAlignment="1" applyProtection="1">
      <alignment horizontal="right" vertical="center"/>
    </xf>
    <xf numFmtId="0" fontId="11" fillId="4" borderId="13" xfId="4" applyNumberFormat="1" applyFont="1" applyFill="1" applyBorder="1" applyAlignment="1" applyProtection="1">
      <alignment horizontal="right" vertical="top"/>
    </xf>
    <xf numFmtId="0" fontId="18" fillId="0" borderId="9" xfId="3" applyFont="1" applyProtection="1"/>
    <xf numFmtId="0" fontId="7" fillId="0" borderId="30" xfId="0" applyFont="1" applyBorder="1" applyAlignment="1">
      <alignment horizontal="center" vertical="center"/>
    </xf>
    <xf numFmtId="164" fontId="8" fillId="5" borderId="33" xfId="1" applyNumberFormat="1" applyFont="1" applyFill="1" applyBorder="1" applyAlignment="1" applyProtection="1">
      <alignment horizontal="left" vertical="top"/>
    </xf>
    <xf numFmtId="0" fontId="7" fillId="3" borderId="29" xfId="0" applyFont="1" applyFill="1" applyBorder="1" applyAlignment="1">
      <alignment horizontal="right" vertical="center"/>
    </xf>
    <xf numFmtId="164" fontId="26" fillId="4" borderId="4" xfId="1" applyNumberFormat="1" applyFont="1" applyFill="1" applyBorder="1" applyAlignment="1" applyProtection="1">
      <alignment horizontal="right" vertical="center"/>
    </xf>
    <xf numFmtId="0" fontId="11" fillId="3" borderId="23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right" vertical="top" wrapText="1"/>
    </xf>
    <xf numFmtId="0" fontId="11" fillId="3" borderId="3" xfId="0" applyFont="1" applyFill="1" applyBorder="1" applyAlignment="1">
      <alignment horizontal="right" indent="1"/>
    </xf>
    <xf numFmtId="0" fontId="7" fillId="0" borderId="21" xfId="0" quotePrefix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14" fontId="7" fillId="0" borderId="1" xfId="0" applyNumberFormat="1" applyFont="1" applyBorder="1" applyAlignment="1" applyProtection="1">
      <alignment horizontal="left"/>
      <protection locked="0"/>
    </xf>
    <xf numFmtId="164" fontId="21" fillId="4" borderId="4" xfId="4" applyNumberFormat="1" applyFont="1" applyFill="1" applyBorder="1" applyAlignment="1" applyProtection="1">
      <alignment horizontal="right" vertical="top"/>
    </xf>
    <xf numFmtId="164" fontId="16" fillId="4" borderId="4" xfId="1" applyNumberFormat="1" applyFont="1" applyFill="1" applyBorder="1" applyAlignment="1" applyProtection="1">
      <alignment horizontal="right" vertical="center"/>
    </xf>
    <xf numFmtId="0" fontId="25" fillId="0" borderId="6" xfId="3" applyFont="1" applyBorder="1" applyAlignment="1" applyProtection="1">
      <alignment horizontal="right" vertical="center"/>
    </xf>
    <xf numFmtId="164" fontId="25" fillId="0" borderId="6" xfId="3" applyNumberFormat="1" applyFont="1" applyBorder="1" applyAlignment="1" applyProtection="1">
      <alignment horizontal="left" vertical="center"/>
    </xf>
    <xf numFmtId="0" fontId="25" fillId="0" borderId="1" xfId="3" applyFont="1" applyBorder="1" applyAlignment="1" applyProtection="1">
      <alignment horizontal="right" vertical="center"/>
    </xf>
    <xf numFmtId="0" fontId="9" fillId="0" borderId="9" xfId="3" applyFont="1" applyProtection="1"/>
    <xf numFmtId="0" fontId="9" fillId="0" borderId="16" xfId="3" applyFont="1" applyBorder="1" applyProtection="1"/>
    <xf numFmtId="0" fontId="7" fillId="0" borderId="3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7" fillId="0" borderId="2" xfId="0" quotePrefix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5" fillId="0" borderId="0" xfId="3" applyFont="1" applyBorder="1" applyAlignment="1" applyProtection="1">
      <alignment vertical="top"/>
    </xf>
    <xf numFmtId="164" fontId="18" fillId="0" borderId="9" xfId="3" applyNumberFormat="1" applyFont="1" applyProtection="1"/>
    <xf numFmtId="164" fontId="11" fillId="4" borderId="4" xfId="4" applyNumberFormat="1" applyFont="1" applyFill="1" applyBorder="1" applyAlignment="1" applyProtection="1">
      <alignment horizontal="right" vertical="center"/>
    </xf>
    <xf numFmtId="0" fontId="33" fillId="4" borderId="6" xfId="0" applyFont="1" applyFill="1" applyBorder="1" applyAlignment="1">
      <alignment horizontal="left" vertical="center"/>
    </xf>
    <xf numFmtId="164" fontId="35" fillId="4" borderId="4" xfId="1" applyNumberFormat="1" applyFont="1" applyFill="1" applyBorder="1" applyAlignment="1" applyProtection="1">
      <alignment horizontal="right" vertical="center"/>
    </xf>
    <xf numFmtId="0" fontId="36" fillId="0" borderId="0" xfId="0" applyFont="1"/>
    <xf numFmtId="164" fontId="35" fillId="4" borderId="4" xfId="1" applyNumberFormat="1" applyFont="1" applyFill="1" applyBorder="1" applyAlignment="1" applyProtection="1">
      <alignment horizontal="right"/>
    </xf>
    <xf numFmtId="164" fontId="16" fillId="4" borderId="4" xfId="1" applyNumberFormat="1" applyFont="1" applyFill="1" applyBorder="1" applyAlignment="1" applyProtection="1">
      <alignment horizontal="right"/>
    </xf>
    <xf numFmtId="0" fontId="36" fillId="4" borderId="2" xfId="0" applyFont="1" applyFill="1" applyBorder="1"/>
    <xf numFmtId="0" fontId="22" fillId="4" borderId="6" xfId="0" applyFont="1" applyFill="1" applyBorder="1" applyAlignment="1">
      <alignment horizontal="left" indent="1"/>
    </xf>
    <xf numFmtId="0" fontId="36" fillId="4" borderId="6" xfId="0" applyFont="1" applyFill="1" applyBorder="1"/>
    <xf numFmtId="0" fontId="36" fillId="4" borderId="7" xfId="0" applyFont="1" applyFill="1" applyBorder="1"/>
    <xf numFmtId="0" fontId="11" fillId="4" borderId="13" xfId="4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8" fillId="0" borderId="9" xfId="3" applyFont="1" applyProtection="1">
      <protection locked="0"/>
    </xf>
    <xf numFmtId="0" fontId="6" fillId="4" borderId="2" xfId="0" applyFont="1" applyFill="1" applyBorder="1" applyAlignment="1" applyProtection="1">
      <alignment horizontal="right" vertical="center"/>
      <protection locked="0"/>
    </xf>
    <xf numFmtId="164" fontId="17" fillId="2" borderId="5" xfId="1" applyNumberFormat="1" applyFont="1" applyBorder="1" applyAlignment="1" applyProtection="1">
      <alignment vertical="center"/>
    </xf>
    <xf numFmtId="164" fontId="7" fillId="2" borderId="5" xfId="1" applyNumberFormat="1" applyFont="1" applyBorder="1" applyAlignment="1" applyProtection="1">
      <alignment vertical="center"/>
    </xf>
    <xf numFmtId="164" fontId="7" fillId="2" borderId="4" xfId="1" applyNumberFormat="1" applyFont="1" applyBorder="1" applyAlignment="1" applyProtection="1">
      <alignment horizontal="right" vertical="center"/>
    </xf>
    <xf numFmtId="164" fontId="8" fillId="5" borderId="4" xfId="1" applyNumberFormat="1" applyFont="1" applyFill="1" applyBorder="1" applyAlignment="1" applyProtection="1">
      <alignment horizontal="right" vertical="center"/>
      <protection locked="0"/>
    </xf>
    <xf numFmtId="164" fontId="8" fillId="5" borderId="19" xfId="1" applyNumberFormat="1" applyFont="1" applyFill="1" applyBorder="1" applyAlignment="1" applyProtection="1">
      <alignment horizontal="right" vertical="center"/>
      <protection locked="0"/>
    </xf>
    <xf numFmtId="164" fontId="8" fillId="5" borderId="33" xfId="1" applyNumberFormat="1" applyFont="1" applyFill="1" applyBorder="1" applyAlignment="1" applyProtection="1">
      <alignment horizontal="right" vertical="top"/>
    </xf>
    <xf numFmtId="164" fontId="8" fillId="5" borderId="4" xfId="1" applyNumberFormat="1" applyFont="1" applyFill="1" applyBorder="1" applyAlignment="1" applyProtection="1">
      <alignment vertical="center"/>
      <protection locked="0"/>
    </xf>
    <xf numFmtId="164" fontId="8" fillId="5" borderId="37" xfId="1" applyNumberFormat="1" applyFont="1" applyFill="1" applyBorder="1" applyAlignment="1" applyProtection="1">
      <alignment vertical="center"/>
      <protection locked="0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0" fontId="15" fillId="4" borderId="4" xfId="1" applyNumberFormat="1" applyFont="1" applyFill="1" applyBorder="1" applyAlignment="1" applyProtection="1">
      <alignment horizontal="right" vertical="center"/>
    </xf>
    <xf numFmtId="164" fontId="25" fillId="0" borderId="1" xfId="3" applyNumberFormat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25" fillId="0" borderId="6" xfId="3" quotePrefix="1" applyFont="1" applyBorder="1" applyAlignment="1" applyProtection="1">
      <alignment vertical="top"/>
    </xf>
    <xf numFmtId="0" fontId="25" fillId="0" borderId="6" xfId="3" applyFont="1" applyBorder="1" applyAlignment="1" applyProtection="1">
      <alignment vertical="top"/>
    </xf>
    <xf numFmtId="164" fontId="25" fillId="0" borderId="6" xfId="3" applyNumberFormat="1" applyFont="1" applyFill="1" applyBorder="1" applyAlignment="1" applyProtection="1">
      <alignment horizontal="left" vertical="center"/>
    </xf>
    <xf numFmtId="164" fontId="25" fillId="0" borderId="1" xfId="3" applyNumberFormat="1" applyFont="1" applyFill="1" applyBorder="1" applyAlignment="1" applyProtection="1">
      <alignment horizontal="left" vertical="center"/>
    </xf>
    <xf numFmtId="164" fontId="25" fillId="0" borderId="6" xfId="3" applyNumberFormat="1" applyFont="1" applyFill="1" applyBorder="1" applyAlignment="1" applyProtection="1">
      <alignment horizontal="left" vertical="top" indent="1"/>
    </xf>
    <xf numFmtId="0" fontId="25" fillId="0" borderId="1" xfId="3" applyFont="1" applyFill="1" applyBorder="1" applyAlignment="1" applyProtection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9" fillId="0" borderId="38" xfId="3" applyFont="1" applyBorder="1" applyProtection="1"/>
    <xf numFmtId="0" fontId="25" fillId="0" borderId="21" xfId="3" applyFont="1" applyBorder="1" applyAlignment="1" applyProtection="1">
      <alignment horizontal="center"/>
    </xf>
    <xf numFmtId="0" fontId="25" fillId="0" borderId="14" xfId="3" applyFont="1" applyBorder="1" applyProtection="1"/>
    <xf numFmtId="0" fontId="39" fillId="0" borderId="14" xfId="3" applyFont="1" applyBorder="1" applyProtection="1"/>
    <xf numFmtId="3" fontId="15" fillId="5" borderId="5" xfId="1" applyNumberFormat="1" applyFont="1" applyFill="1" applyBorder="1" applyAlignment="1" applyProtection="1">
      <alignment horizontal="right" vertical="center"/>
      <protection locked="0"/>
    </xf>
    <xf numFmtId="0" fontId="25" fillId="0" borderId="22" xfId="3" applyFont="1" applyBorder="1" applyAlignment="1" applyProtection="1">
      <alignment horizontal="center"/>
    </xf>
    <xf numFmtId="0" fontId="25" fillId="0" borderId="1" xfId="3" applyFont="1" applyBorder="1" applyProtection="1"/>
    <xf numFmtId="0" fontId="39" fillId="0" borderId="1" xfId="3" applyFont="1" applyBorder="1" applyProtection="1"/>
    <xf numFmtId="0" fontId="25" fillId="0" borderId="2" xfId="3" applyFont="1" applyBorder="1" applyAlignment="1" applyProtection="1">
      <alignment horizontal="center"/>
    </xf>
    <xf numFmtId="0" fontId="7" fillId="0" borderId="39" xfId="0" applyFont="1" applyBorder="1" applyAlignment="1">
      <alignment horizontal="center" vertical="center"/>
    </xf>
    <xf numFmtId="164" fontId="15" fillId="5" borderId="5" xfId="1" applyNumberFormat="1" applyFont="1" applyFill="1" applyBorder="1" applyAlignment="1" applyProtection="1">
      <alignment horizontal="right" vertical="center"/>
      <protection locked="0"/>
    </xf>
    <xf numFmtId="164" fontId="15" fillId="5" borderId="4" xfId="1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6" borderId="6" xfId="0" applyFill="1" applyBorder="1"/>
    <xf numFmtId="0" fontId="7" fillId="2" borderId="1" xfId="1" applyFont="1" applyBorder="1" applyAlignment="1" applyProtection="1">
      <alignment horizontal="right"/>
    </xf>
    <xf numFmtId="164" fontId="7" fillId="4" borderId="4" xfId="0" applyNumberFormat="1" applyFont="1" applyFill="1" applyBorder="1" applyAlignment="1">
      <alignment horizontal="right"/>
    </xf>
    <xf numFmtId="164" fontId="17" fillId="7" borderId="20" xfId="1" applyNumberFormat="1" applyFont="1" applyFill="1" applyBorder="1" applyAlignment="1" applyProtection="1">
      <alignment horizontal="right" vertical="center"/>
    </xf>
    <xf numFmtId="164" fontId="17" fillId="7" borderId="7" xfId="1" applyNumberFormat="1" applyFont="1" applyFill="1" applyBorder="1" applyAlignment="1" applyProtection="1">
      <alignment horizontal="right" vertical="center"/>
    </xf>
    <xf numFmtId="0" fontId="0" fillId="6" borderId="0" xfId="0" applyFill="1"/>
    <xf numFmtId="164" fontId="15" fillId="4" borderId="7" xfId="1" applyNumberFormat="1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/>
    </xf>
    <xf numFmtId="0" fontId="7" fillId="4" borderId="6" xfId="1" applyFont="1" applyFill="1" applyBorder="1" applyAlignment="1" applyProtection="1">
      <alignment vertical="center"/>
    </xf>
    <xf numFmtId="0" fontId="22" fillId="4" borderId="1" xfId="1" applyFont="1" applyFill="1" applyBorder="1" applyAlignment="1" applyProtection="1">
      <alignment horizontal="left" vertical="center" indent="5"/>
    </xf>
    <xf numFmtId="0" fontId="22" fillId="4" borderId="20" xfId="1" applyFont="1" applyFill="1" applyBorder="1" applyAlignment="1" applyProtection="1">
      <alignment horizontal="left" vertical="center" indent="5"/>
    </xf>
    <xf numFmtId="164" fontId="17" fillId="4" borderId="7" xfId="0" applyNumberFormat="1" applyFont="1" applyFill="1" applyBorder="1"/>
    <xf numFmtId="0" fontId="7" fillId="4" borderId="6" xfId="0" applyFont="1" applyFill="1" applyBorder="1" applyAlignment="1">
      <alignment horizontal="left"/>
    </xf>
    <xf numFmtId="164" fontId="17" fillId="4" borderId="20" xfId="0" applyNumberFormat="1" applyFont="1" applyFill="1" applyBorder="1"/>
    <xf numFmtId="0" fontId="22" fillId="4" borderId="6" xfId="1" applyFont="1" applyFill="1" applyBorder="1" applyAlignment="1" applyProtection="1">
      <alignment horizontal="left" vertical="center" indent="5"/>
    </xf>
    <xf numFmtId="0" fontId="22" fillId="4" borderId="7" xfId="1" applyFont="1" applyFill="1" applyBorder="1" applyAlignment="1" applyProtection="1">
      <alignment horizontal="left" vertical="center" indent="5"/>
    </xf>
    <xf numFmtId="164" fontId="17" fillId="4" borderId="7" xfId="1" applyNumberFormat="1" applyFont="1" applyFill="1" applyBorder="1" applyAlignment="1" applyProtection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/>
    </xf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7" fillId="4" borderId="40" xfId="0" applyFont="1" applyFill="1" applyBorder="1"/>
    <xf numFmtId="164" fontId="11" fillId="4" borderId="4" xfId="0" applyNumberFormat="1" applyFont="1" applyFill="1" applyBorder="1"/>
    <xf numFmtId="0" fontId="28" fillId="4" borderId="23" xfId="0" applyFont="1" applyFill="1" applyBorder="1" applyAlignment="1">
      <alignment horizontal="left" vertical="center" wrapText="1" indent="1"/>
    </xf>
    <xf numFmtId="164" fontId="11" fillId="4" borderId="26" xfId="0" applyNumberFormat="1" applyFont="1" applyFill="1" applyBorder="1"/>
    <xf numFmtId="164" fontId="17" fillId="4" borderId="5" xfId="0" applyNumberFormat="1" applyFont="1" applyFill="1" applyBorder="1"/>
    <xf numFmtId="164" fontId="17" fillId="4" borderId="4" xfId="0" applyNumberFormat="1" applyFont="1" applyFill="1" applyBorder="1"/>
    <xf numFmtId="164" fontId="11" fillId="4" borderId="42" xfId="0" applyNumberFormat="1" applyFont="1" applyFill="1" applyBorder="1"/>
    <xf numFmtId="0" fontId="10" fillId="0" borderId="2" xfId="0" applyFont="1" applyBorder="1" applyAlignment="1">
      <alignment horizontal="center" vertical="center"/>
    </xf>
    <xf numFmtId="164" fontId="11" fillId="4" borderId="4" xfId="4" applyNumberFormat="1" applyFont="1" applyFill="1" applyBorder="1" applyAlignment="1" applyProtection="1">
      <alignment horizontal="right"/>
    </xf>
    <xf numFmtId="0" fontId="25" fillId="0" borderId="6" xfId="3" applyFont="1" applyFill="1" applyBorder="1" applyAlignment="1" applyProtection="1">
      <alignment horizontal="right" vertical="center"/>
    </xf>
    <xf numFmtId="164" fontId="25" fillId="0" borderId="23" xfId="3" applyNumberFormat="1" applyFont="1" applyFill="1" applyBorder="1" applyAlignment="1" applyProtection="1">
      <alignment horizontal="right" vertical="center"/>
    </xf>
    <xf numFmtId="0" fontId="7" fillId="0" borderId="23" xfId="0" applyFont="1" applyBorder="1"/>
    <xf numFmtId="0" fontId="25" fillId="0" borderId="23" xfId="3" applyFont="1" applyFill="1" applyBorder="1" applyAlignment="1" applyProtection="1">
      <alignment horizontal="right" vertical="center"/>
    </xf>
    <xf numFmtId="0" fontId="25" fillId="0" borderId="6" xfId="3" applyFont="1" applyFill="1" applyBorder="1" applyAlignment="1" applyProtection="1">
      <alignment horizontal="right" vertical="top"/>
    </xf>
    <xf numFmtId="0" fontId="25" fillId="0" borderId="1" xfId="3" applyFont="1" applyFill="1" applyBorder="1" applyAlignment="1" applyProtection="1">
      <alignment horizontal="right" vertical="top"/>
    </xf>
    <xf numFmtId="164" fontId="25" fillId="0" borderId="1" xfId="3" applyNumberFormat="1" applyFont="1" applyFill="1" applyBorder="1" applyAlignment="1" applyProtection="1">
      <alignment horizontal="left" vertical="top" indent="1"/>
    </xf>
    <xf numFmtId="164" fontId="25" fillId="0" borderId="1" xfId="3" applyNumberFormat="1" applyFont="1" applyFill="1" applyBorder="1" applyAlignment="1" applyProtection="1">
      <alignment horizontal="right" vertical="top" indent="1"/>
    </xf>
    <xf numFmtId="0" fontId="7" fillId="0" borderId="0" xfId="0" applyFont="1" applyAlignment="1">
      <alignment vertical="top"/>
    </xf>
    <xf numFmtId="0" fontId="0" fillId="0" borderId="6" xfId="0" applyBorder="1"/>
    <xf numFmtId="164" fontId="17" fillId="8" borderId="41" xfId="0" applyNumberFormat="1" applyFont="1" applyFill="1" applyBorder="1" applyProtection="1">
      <protection locked="0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0" fillId="0" borderId="18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31" fillId="0" borderId="34" xfId="2" applyFont="1" applyBorder="1" applyAlignment="1">
      <alignment horizontal="left" vertical="center"/>
    </xf>
    <xf numFmtId="0" fontId="32" fillId="0" borderId="34" xfId="2" applyFont="1" applyBorder="1" applyAlignment="1">
      <alignment horizontal="left" vertical="center"/>
    </xf>
    <xf numFmtId="0" fontId="7" fillId="0" borderId="0" xfId="0" applyFont="1" applyAlignment="1">
      <alignment horizontal="right" indent="1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right" wrapText="1" indent="1"/>
    </xf>
    <xf numFmtId="0" fontId="7" fillId="0" borderId="6" xfId="0" applyFont="1" applyBorder="1" applyAlignment="1" applyProtection="1">
      <alignment horizontal="left" wrapText="1"/>
      <protection locked="0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4"/>
    </xf>
    <xf numFmtId="0" fontId="9" fillId="0" borderId="16" xfId="3" applyFont="1" applyBorder="1" applyProtection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9" fillId="0" borderId="9" xfId="3" applyFont="1" applyProtection="1"/>
    <xf numFmtId="0" fontId="7" fillId="2" borderId="14" xfId="1" applyFont="1" applyBorder="1" applyAlignment="1" applyProtection="1">
      <alignment horizontal="left"/>
    </xf>
    <xf numFmtId="0" fontId="7" fillId="2" borderId="15" xfId="1" applyFont="1" applyBorder="1" applyAlignment="1" applyProtection="1">
      <alignment horizontal="left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28" fillId="3" borderId="23" xfId="0" applyFont="1" applyFill="1" applyBorder="1" applyAlignment="1">
      <alignment horizontal="left" vertical="center" wrapText="1" indent="1"/>
    </xf>
    <xf numFmtId="0" fontId="28" fillId="3" borderId="12" xfId="0" applyFont="1" applyFill="1" applyBorder="1" applyAlignment="1">
      <alignment horizontal="left" vertical="center" wrapText="1" indent="1"/>
    </xf>
    <xf numFmtId="0" fontId="11" fillId="3" borderId="23" xfId="0" applyFont="1" applyFill="1" applyBorder="1" applyAlignment="1">
      <alignment horizontal="right" indent="1"/>
    </xf>
    <xf numFmtId="0" fontId="11" fillId="3" borderId="24" xfId="0" applyFont="1" applyFill="1" applyBorder="1" applyAlignment="1">
      <alignment horizontal="right" indent="1"/>
    </xf>
    <xf numFmtId="0" fontId="22" fillId="3" borderId="12" xfId="0" applyFont="1" applyFill="1" applyBorder="1" applyAlignment="1">
      <alignment horizontal="right" vertical="center" wrapText="1"/>
    </xf>
    <xf numFmtId="0" fontId="22" fillId="3" borderId="26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vertical="center"/>
    </xf>
    <xf numFmtId="0" fontId="7" fillId="2" borderId="14" xfId="1" applyFont="1" applyBorder="1" applyAlignment="1" applyProtection="1">
      <alignment horizontal="left" vertical="center"/>
    </xf>
    <xf numFmtId="0" fontId="7" fillId="2" borderId="15" xfId="1" applyFont="1" applyBorder="1" applyAlignment="1" applyProtection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/>
    </xf>
    <xf numFmtId="0" fontId="10" fillId="4" borderId="24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right" vertical="center" indent="1"/>
    </xf>
    <xf numFmtId="0" fontId="16" fillId="3" borderId="25" xfId="0" applyFont="1" applyFill="1" applyBorder="1" applyAlignment="1">
      <alignment horizontal="right" vertical="center" indent="1"/>
    </xf>
    <xf numFmtId="0" fontId="7" fillId="4" borderId="2" xfId="0" applyFont="1" applyFill="1" applyBorder="1" applyAlignment="1">
      <alignment horizontal="left" vertical="center" indent="4"/>
    </xf>
    <xf numFmtId="0" fontId="7" fillId="4" borderId="6" xfId="0" applyFont="1" applyFill="1" applyBorder="1" applyAlignment="1">
      <alignment horizontal="left" vertical="center" indent="4"/>
    </xf>
    <xf numFmtId="0" fontId="7" fillId="4" borderId="7" xfId="0" applyFont="1" applyFill="1" applyBorder="1" applyAlignment="1">
      <alignment horizontal="left" vertical="center" indent="4"/>
    </xf>
    <xf numFmtId="0" fontId="25" fillId="0" borderId="14" xfId="3" applyFont="1" applyBorder="1" applyAlignment="1" applyProtection="1">
      <alignment vertical="top" wrapText="1"/>
    </xf>
    <xf numFmtId="0" fontId="11" fillId="3" borderId="23" xfId="0" applyFont="1" applyFill="1" applyBorder="1" applyAlignment="1">
      <alignment horizontal="right" vertical="center" indent="1"/>
    </xf>
    <xf numFmtId="0" fontId="11" fillId="3" borderId="24" xfId="0" applyFont="1" applyFill="1" applyBorder="1" applyAlignment="1">
      <alignment horizontal="right" vertical="center" indent="1"/>
    </xf>
    <xf numFmtId="0" fontId="10" fillId="4" borderId="6" xfId="0" applyFont="1" applyFill="1" applyBorder="1" applyAlignment="1">
      <alignment horizontal="right" vertical="center" indent="2"/>
    </xf>
    <xf numFmtId="0" fontId="10" fillId="4" borderId="7" xfId="0" applyFont="1" applyFill="1" applyBorder="1" applyAlignment="1">
      <alignment horizontal="right" vertical="center" indent="2"/>
    </xf>
    <xf numFmtId="0" fontId="34" fillId="0" borderId="21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 indent="6"/>
    </xf>
    <xf numFmtId="0" fontId="22" fillId="4" borderId="6" xfId="0" applyFont="1" applyFill="1" applyBorder="1" applyAlignment="1">
      <alignment horizontal="left" vertical="center" indent="6"/>
    </xf>
    <xf numFmtId="0" fontId="22" fillId="4" borderId="7" xfId="0" applyFont="1" applyFill="1" applyBorder="1" applyAlignment="1">
      <alignment horizontal="left" vertical="center" indent="6"/>
    </xf>
    <xf numFmtId="0" fontId="22" fillId="4" borderId="2" xfId="0" applyFont="1" applyFill="1" applyBorder="1" applyAlignment="1">
      <alignment horizontal="left" indent="6"/>
    </xf>
    <xf numFmtId="0" fontId="22" fillId="4" borderId="6" xfId="0" applyFont="1" applyFill="1" applyBorder="1" applyAlignment="1">
      <alignment horizontal="left" indent="6"/>
    </xf>
    <xf numFmtId="0" fontId="22" fillId="4" borderId="7" xfId="0" applyFont="1" applyFill="1" applyBorder="1" applyAlignment="1">
      <alignment horizontal="left" indent="6"/>
    </xf>
    <xf numFmtId="0" fontId="11" fillId="4" borderId="2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34" fillId="0" borderId="2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34" fillId="0" borderId="14" xfId="0" applyFont="1" applyBorder="1" applyAlignment="1">
      <alignment horizontal="left"/>
    </xf>
    <xf numFmtId="0" fontId="7" fillId="4" borderId="3" xfId="0" applyFont="1" applyFill="1" applyBorder="1" applyAlignment="1">
      <alignment horizontal="left" vertical="center" indent="4"/>
    </xf>
    <xf numFmtId="0" fontId="7" fillId="4" borderId="23" xfId="0" applyFont="1" applyFill="1" applyBorder="1" applyAlignment="1">
      <alignment horizontal="left" vertical="center" indent="4"/>
    </xf>
    <xf numFmtId="0" fontId="7" fillId="4" borderId="24" xfId="0" applyFont="1" applyFill="1" applyBorder="1" applyAlignment="1">
      <alignment horizontal="left" vertical="center" indent="4"/>
    </xf>
    <xf numFmtId="0" fontId="34" fillId="0" borderId="6" xfId="0" applyFont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41" fillId="0" borderId="18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wrapText="1"/>
    </xf>
    <xf numFmtId="0" fontId="29" fillId="0" borderId="34" xfId="2" applyFont="1" applyBorder="1" applyAlignment="1">
      <alignment horizontal="center" wrapText="1"/>
    </xf>
    <xf numFmtId="0" fontId="30" fillId="0" borderId="18" xfId="2" applyFont="1" applyBorder="1" applyAlignment="1">
      <alignment horizontal="center" vertical="top" wrapText="1"/>
    </xf>
    <xf numFmtId="0" fontId="29" fillId="0" borderId="18" xfId="2" applyFont="1" applyBorder="1" applyAlignment="1">
      <alignment horizontal="center" vertical="top" wrapText="1"/>
    </xf>
    <xf numFmtId="0" fontId="31" fillId="0" borderId="34" xfId="2" applyFont="1" applyBorder="1" applyAlignment="1">
      <alignment horizontal="left" vertical="center" wrapText="1"/>
    </xf>
    <xf numFmtId="0" fontId="32" fillId="0" borderId="34" xfId="2" applyFont="1" applyBorder="1" applyAlignment="1">
      <alignment horizontal="left" vertical="center" wrapText="1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164" fontId="8" fillId="5" borderId="33" xfId="1" applyNumberFormat="1" applyFont="1" applyFill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22" fillId="4" borderId="1" xfId="0" applyFont="1" applyFill="1" applyBorder="1" applyAlignment="1">
      <alignment horizontal="left" vertical="top" indent="1"/>
    </xf>
    <xf numFmtId="0" fontId="22" fillId="4" borderId="20" xfId="0" applyFont="1" applyFill="1" applyBorder="1" applyAlignment="1">
      <alignment horizontal="left" vertical="top" indent="1"/>
    </xf>
    <xf numFmtId="0" fontId="25" fillId="0" borderId="14" xfId="3" applyFont="1" applyBorder="1" applyAlignment="1" applyProtection="1">
      <alignment vertical="center" wrapText="1"/>
    </xf>
    <xf numFmtId="0" fontId="41" fillId="0" borderId="18" xfId="2" applyFont="1" applyBorder="1" applyAlignment="1">
      <alignment horizontal="left" vertical="center"/>
    </xf>
    <xf numFmtId="0" fontId="31" fillId="0" borderId="34" xfId="2" applyFont="1" applyBorder="1" applyAlignment="1">
      <alignment horizontal="center" vertical="center" wrapText="1"/>
    </xf>
    <xf numFmtId="0" fontId="32" fillId="0" borderId="34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2" borderId="6" xfId="1" applyFont="1" applyBorder="1" applyAlignment="1" applyProtection="1">
      <alignment horizontal="left"/>
    </xf>
    <xf numFmtId="0" fontId="7" fillId="2" borderId="7" xfId="1" applyFont="1" applyBorder="1" applyAlignment="1" applyProtection="1">
      <alignment horizontal="left"/>
    </xf>
    <xf numFmtId="0" fontId="22" fillId="2" borderId="2" xfId="1" applyFont="1" applyBorder="1" applyAlignment="1" applyProtection="1">
      <alignment horizontal="left" vertical="center" indent="5"/>
    </xf>
    <xf numFmtId="0" fontId="22" fillId="2" borderId="6" xfId="1" applyFont="1" applyBorder="1" applyAlignment="1" applyProtection="1">
      <alignment horizontal="left" vertical="center" indent="5"/>
    </xf>
    <xf numFmtId="0" fontId="22" fillId="2" borderId="7" xfId="1" applyFont="1" applyBorder="1" applyAlignment="1" applyProtection="1">
      <alignment horizontal="left" vertical="center" indent="5"/>
    </xf>
    <xf numFmtId="0" fontId="22" fillId="3" borderId="12" xfId="0" applyFont="1" applyFill="1" applyBorder="1" applyAlignment="1">
      <alignment horizontal="right" wrapText="1"/>
    </xf>
    <xf numFmtId="0" fontId="22" fillId="3" borderId="26" xfId="0" applyFont="1" applyFill="1" applyBorder="1" applyAlignment="1">
      <alignment horizontal="right" wrapText="1"/>
    </xf>
    <xf numFmtId="0" fontId="7" fillId="2" borderId="6" xfId="1" applyFont="1" applyBorder="1" applyAlignment="1" applyProtection="1">
      <alignment horizontal="left" vertical="center"/>
    </xf>
    <xf numFmtId="0" fontId="7" fillId="2" borderId="7" xfId="1" applyFont="1" applyBorder="1" applyAlignment="1" applyProtection="1">
      <alignment horizontal="left" vertical="center"/>
    </xf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11" fillId="3" borderId="23" xfId="0" applyFont="1" applyFill="1" applyBorder="1" applyAlignment="1" applyProtection="1">
      <alignment horizontal="right" vertical="center" indent="1"/>
      <protection locked="0"/>
    </xf>
    <xf numFmtId="0" fontId="11" fillId="3" borderId="24" xfId="0" applyFont="1" applyFill="1" applyBorder="1" applyAlignment="1" applyProtection="1">
      <alignment horizontal="right" vertical="center" indent="1"/>
      <protection locked="0"/>
    </xf>
    <xf numFmtId="0" fontId="9" fillId="0" borderId="9" xfId="3" applyFont="1" applyProtection="1">
      <protection locked="0"/>
    </xf>
    <xf numFmtId="0" fontId="17" fillId="0" borderId="14" xfId="0" applyFont="1" applyBorder="1" applyAlignment="1">
      <alignment horizontal="left"/>
    </xf>
    <xf numFmtId="0" fontId="11" fillId="4" borderId="2" xfId="0" applyFont="1" applyFill="1" applyBorder="1" applyAlignment="1">
      <alignment horizontal="left" vertical="center" indent="4"/>
    </xf>
    <xf numFmtId="0" fontId="11" fillId="4" borderId="6" xfId="0" applyFont="1" applyFill="1" applyBorder="1" applyAlignment="1">
      <alignment horizontal="left" vertical="center" indent="4"/>
    </xf>
    <xf numFmtId="0" fontId="11" fillId="4" borderId="7" xfId="0" applyFont="1" applyFill="1" applyBorder="1" applyAlignment="1">
      <alignment horizontal="left" vertical="center" indent="4"/>
    </xf>
    <xf numFmtId="0" fontId="7" fillId="8" borderId="6" xfId="1" applyFont="1" applyFill="1" applyBorder="1" applyAlignment="1" applyProtection="1">
      <alignment horizontal="left" vertical="center"/>
    </xf>
    <xf numFmtId="0" fontId="7" fillId="8" borderId="7" xfId="1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4" borderId="14" xfId="1" applyFont="1" applyFill="1" applyBorder="1" applyAlignment="1" applyProtection="1">
      <alignment horizontal="left"/>
    </xf>
    <xf numFmtId="0" fontId="7" fillId="4" borderId="15" xfId="1" applyFont="1" applyFill="1" applyBorder="1" applyAlignment="1" applyProtection="1">
      <alignment horizontal="left"/>
    </xf>
    <xf numFmtId="0" fontId="7" fillId="4" borderId="6" xfId="1" applyFont="1" applyFill="1" applyBorder="1" applyAlignment="1" applyProtection="1">
      <alignment horizontal="left"/>
    </xf>
    <xf numFmtId="0" fontId="7" fillId="4" borderId="7" xfId="1" applyFont="1" applyFill="1" applyBorder="1" applyAlignment="1" applyProtection="1">
      <alignment horizontal="left"/>
    </xf>
    <xf numFmtId="0" fontId="11" fillId="4" borderId="23" xfId="0" applyFont="1" applyFill="1" applyBorder="1" applyAlignment="1">
      <alignment horizontal="right" indent="1"/>
    </xf>
    <xf numFmtId="0" fontId="11" fillId="4" borderId="24" xfId="0" applyFont="1" applyFill="1" applyBorder="1" applyAlignment="1">
      <alignment horizontal="right" indent="1"/>
    </xf>
    <xf numFmtId="0" fontId="12" fillId="0" borderId="18" xfId="2" applyFont="1" applyBorder="1" applyAlignment="1" applyProtection="1">
      <alignment horizontal="center" vertical="center"/>
    </xf>
    <xf numFmtId="0" fontId="0" fillId="9" borderId="0" xfId="0" applyFill="1"/>
    <xf numFmtId="0" fontId="42" fillId="9" borderId="0" xfId="0" applyFont="1" applyFill="1"/>
    <xf numFmtId="0" fontId="0" fillId="3" borderId="43" xfId="0" applyFill="1" applyBorder="1"/>
    <xf numFmtId="0" fontId="43" fillId="3" borderId="44" xfId="0" applyFont="1" applyFill="1" applyBorder="1" applyAlignment="1">
      <alignment horizontal="center" vertical="center"/>
    </xf>
    <xf numFmtId="0" fontId="0" fillId="3" borderId="45" xfId="0" applyFill="1" applyBorder="1"/>
    <xf numFmtId="0" fontId="0" fillId="3" borderId="46" xfId="0" applyFill="1" applyBorder="1"/>
    <xf numFmtId="0" fontId="0" fillId="3" borderId="0" xfId="0" applyFill="1" applyBorder="1" applyAlignment="1">
      <alignment horizontal="center"/>
    </xf>
    <xf numFmtId="0" fontId="0" fillId="3" borderId="47" xfId="0" applyFill="1" applyBorder="1"/>
    <xf numFmtId="0" fontId="0" fillId="3" borderId="0" xfId="0" applyFill="1" applyBorder="1"/>
    <xf numFmtId="0" fontId="44" fillId="3" borderId="0" xfId="0" applyFont="1" applyFill="1" applyBorder="1" applyAlignment="1">
      <alignment horizontal="center" vertical="center"/>
    </xf>
    <xf numFmtId="0" fontId="45" fillId="3" borderId="0" xfId="0" applyFont="1" applyFill="1" applyBorder="1" applyAlignment="1">
      <alignment horizontal="center" vertical="center"/>
    </xf>
    <xf numFmtId="0" fontId="47" fillId="3" borderId="0" xfId="6" applyFont="1" applyFill="1" applyBorder="1" applyAlignment="1">
      <alignment horizontal="center"/>
    </xf>
    <xf numFmtId="0" fontId="48" fillId="3" borderId="48" xfId="0" applyFont="1" applyFill="1" applyBorder="1" applyAlignment="1">
      <alignment horizontal="center"/>
    </xf>
    <xf numFmtId="0" fontId="48" fillId="3" borderId="49" xfId="0" applyFont="1" applyFill="1" applyBorder="1" applyAlignment="1">
      <alignment horizontal="center"/>
    </xf>
    <xf numFmtId="0" fontId="48" fillId="3" borderId="50" xfId="0" applyFont="1" applyFill="1" applyBorder="1" applyAlignment="1">
      <alignment horizontal="center"/>
    </xf>
  </cellXfs>
  <cellStyles count="7">
    <cellStyle name="20% - Accent1" xfId="1" builtinId="30"/>
    <cellStyle name="Currency" xfId="5" builtinId="4"/>
    <cellStyle name="Heading 1" xfId="2" builtinId="16"/>
    <cellStyle name="Heading 2" xfId="3" builtinId="17"/>
    <cellStyle name="Hyperlink" xfId="6" builtinId="8"/>
    <cellStyle name="Normal" xfId="0" builtinId="0"/>
    <cellStyle name="Total" xfId="4" builtinId="25"/>
  </cellStyles>
  <dxfs count="0"/>
  <tableStyles count="0" defaultTableStyle="TableStyleMedium9" defaultPivotStyle="PivotStyleLight16"/>
  <colors>
    <mruColors>
      <color rgb="FFE2C9FB"/>
      <color rgb="FFECD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1497002</xdr:colOff>
      <xdr:row>2</xdr:row>
      <xdr:rowOff>190501</xdr:rowOff>
    </xdr:from>
    <xdr:to>
      <xdr:col>4</xdr:col>
      <xdr:colOff>1037079</xdr:colOff>
      <xdr:row>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45002" y="742951"/>
          <a:ext cx="1406977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Department of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573-751-0342</a:t>
          </a:r>
        </a:p>
        <a:p>
          <a:pPr algn="r"/>
          <a:endParaRPr lang="en-US" sz="7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1774247</xdr:colOff>
      <xdr:row>3</xdr:row>
      <xdr:rowOff>117430</xdr:rowOff>
    </xdr:from>
    <xdr:to>
      <xdr:col>5</xdr:col>
      <xdr:colOff>740</xdr:colOff>
      <xdr:row>5</xdr:row>
      <xdr:rowOff>216477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995429" y="784180"/>
          <a:ext cx="1265834" cy="575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  <a:endParaRPr lang="en-US" sz="700" baseline="0">
            <a:latin typeface="Arial" pitchFamily="34" charset="0"/>
            <a:cs typeface="Arial" pitchFamily="34" charset="0"/>
          </a:endParaRP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 Department of 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>
              <a:latin typeface="Arial" pitchFamily="34" charset="0"/>
              <a:cs typeface="Arial" pitchFamily="34" charset="0"/>
            </a:rPr>
            <a:t>573-751-0342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2</xdr:row>
      <xdr:rowOff>173182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736522" y="868507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34636</xdr:colOff>
      <xdr:row>2</xdr:row>
      <xdr:rowOff>103909</xdr:rowOff>
    </xdr:from>
    <xdr:ext cx="845897" cy="10390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910503" y="527242"/>
          <a:ext cx="845897" cy="1039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Deptartment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7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1</xdr:row>
      <xdr:rowOff>0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965122" y="304800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2008911</xdr:colOff>
      <xdr:row>0</xdr:row>
      <xdr:rowOff>285750</xdr:rowOff>
    </xdr:from>
    <xdr:ext cx="1388346" cy="115165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380761" y="285750"/>
          <a:ext cx="1388346" cy="11516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1497002</xdr:colOff>
      <xdr:row>2</xdr:row>
      <xdr:rowOff>190501</xdr:rowOff>
    </xdr:from>
    <xdr:to>
      <xdr:col>4</xdr:col>
      <xdr:colOff>1037079</xdr:colOff>
      <xdr:row>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54277" y="571501"/>
          <a:ext cx="635452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Department of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573-751-0342</a:t>
          </a:r>
        </a:p>
        <a:p>
          <a:pPr algn="r"/>
          <a:endParaRPr lang="en-US" sz="7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2</xdr:row>
      <xdr:rowOff>173182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55297" y="554182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34636</xdr:colOff>
      <xdr:row>2</xdr:row>
      <xdr:rowOff>103909</xdr:rowOff>
    </xdr:from>
    <xdr:ext cx="905164" cy="8104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02036" y="523009"/>
          <a:ext cx="905164" cy="8104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Deptartment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7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75" zoomScaleNormal="75" workbookViewId="0">
      <selection activeCell="J9" sqref="J9:L9"/>
    </sheetView>
  </sheetViews>
  <sheetFormatPr defaultColWidth="8.7109375" defaultRowHeight="15" x14ac:dyDescent="0.25"/>
  <cols>
    <col min="1" max="1" width="1.85546875" style="275" customWidth="1"/>
    <col min="2" max="8" width="8.7109375" style="274"/>
    <col min="9" max="9" width="6.140625" style="274" customWidth="1"/>
    <col min="10" max="10" width="11.85546875" style="274" customWidth="1"/>
    <col min="11" max="11" width="8.7109375" style="274"/>
    <col min="12" max="12" width="20.5703125" style="274" customWidth="1"/>
    <col min="13" max="18" width="8.7109375" style="274"/>
    <col min="19" max="19" width="13.42578125" style="274" customWidth="1"/>
    <col min="20" max="21" width="8.7109375" style="274"/>
  </cols>
  <sheetData>
    <row r="1" spans="2:20" ht="7.5" customHeight="1" thickBot="1" x14ac:dyDescent="0.3"/>
    <row r="2" spans="2:20" ht="36.75" thickBot="1" x14ac:dyDescent="0.6">
      <c r="B2" s="288" t="s">
        <v>192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6"/>
    </row>
    <row r="3" spans="2:20" x14ac:dyDescent="0.25">
      <c r="B3" s="281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79"/>
    </row>
    <row r="4" spans="2:20" ht="21" x14ac:dyDescent="0.35">
      <c r="B4" s="281"/>
      <c r="C4" s="282"/>
      <c r="D4" s="282"/>
      <c r="E4" s="282"/>
      <c r="F4" s="282"/>
      <c r="G4" s="282"/>
      <c r="H4" s="282"/>
      <c r="I4" s="282"/>
      <c r="J4" s="285" t="s">
        <v>191</v>
      </c>
      <c r="K4" s="285"/>
      <c r="L4" s="285"/>
      <c r="M4" s="282"/>
      <c r="N4" s="282"/>
      <c r="O4" s="282"/>
      <c r="P4" s="282"/>
      <c r="Q4" s="282"/>
      <c r="R4" s="282"/>
      <c r="S4" s="282"/>
      <c r="T4" s="279"/>
    </row>
    <row r="5" spans="2:20" ht="21" x14ac:dyDescent="0.35">
      <c r="B5" s="281"/>
      <c r="C5" s="282"/>
      <c r="D5" s="282"/>
      <c r="E5" s="282"/>
      <c r="F5" s="282"/>
      <c r="G5" s="282"/>
      <c r="H5" s="282"/>
      <c r="I5" s="282"/>
      <c r="J5" s="285" t="s">
        <v>190</v>
      </c>
      <c r="K5" s="285"/>
      <c r="L5" s="285"/>
      <c r="M5" s="282"/>
      <c r="N5" s="282"/>
      <c r="O5" s="282"/>
      <c r="P5" s="282"/>
      <c r="Q5" s="282"/>
      <c r="R5" s="282"/>
      <c r="S5" s="282"/>
      <c r="T5" s="279"/>
    </row>
    <row r="6" spans="2:20" ht="21" x14ac:dyDescent="0.35">
      <c r="B6" s="281"/>
      <c r="C6" s="282"/>
      <c r="D6" s="282"/>
      <c r="E6" s="282"/>
      <c r="F6" s="282"/>
      <c r="G6" s="282"/>
      <c r="H6" s="282"/>
      <c r="I6" s="282"/>
      <c r="J6" s="285" t="s">
        <v>189</v>
      </c>
      <c r="K6" s="285"/>
      <c r="L6" s="285"/>
      <c r="M6" s="282"/>
      <c r="N6" s="282"/>
      <c r="O6" s="282"/>
      <c r="P6" s="282"/>
      <c r="Q6" s="282"/>
      <c r="R6" s="282"/>
      <c r="S6" s="282"/>
      <c r="T6" s="279"/>
    </row>
    <row r="7" spans="2:20" ht="21" x14ac:dyDescent="0.35">
      <c r="B7" s="281"/>
      <c r="C7" s="282"/>
      <c r="D7" s="282"/>
      <c r="E7" s="282"/>
      <c r="F7" s="282"/>
      <c r="G7" s="282"/>
      <c r="H7" s="282"/>
      <c r="I7" s="282"/>
      <c r="J7" s="285" t="s">
        <v>188</v>
      </c>
      <c r="K7" s="285"/>
      <c r="L7" s="285"/>
      <c r="M7" s="282"/>
      <c r="N7" s="282"/>
      <c r="O7" s="282"/>
      <c r="P7" s="282"/>
      <c r="Q7" s="282"/>
      <c r="R7" s="282"/>
      <c r="S7" s="282"/>
      <c r="T7" s="279"/>
    </row>
    <row r="8" spans="2:20" ht="21" x14ac:dyDescent="0.35">
      <c r="B8" s="281"/>
      <c r="C8" s="282"/>
      <c r="D8" s="282"/>
      <c r="E8" s="282"/>
      <c r="F8" s="282"/>
      <c r="G8" s="282"/>
      <c r="H8" s="282"/>
      <c r="I8" s="282"/>
      <c r="J8" s="285" t="s">
        <v>187</v>
      </c>
      <c r="K8" s="285"/>
      <c r="L8" s="285"/>
      <c r="M8" s="282"/>
      <c r="N8" s="282"/>
      <c r="O8" s="282"/>
      <c r="P8" s="282"/>
      <c r="Q8" s="282"/>
      <c r="R8" s="282"/>
      <c r="S8" s="282"/>
      <c r="T8" s="279"/>
    </row>
    <row r="9" spans="2:20" ht="21" x14ac:dyDescent="0.35">
      <c r="B9" s="281"/>
      <c r="C9" s="282"/>
      <c r="D9" s="282"/>
      <c r="E9" s="282"/>
      <c r="F9" s="282"/>
      <c r="G9" s="282"/>
      <c r="H9" s="282"/>
      <c r="I9" s="282"/>
      <c r="J9" s="285" t="s">
        <v>186</v>
      </c>
      <c r="K9" s="285"/>
      <c r="L9" s="285"/>
      <c r="M9" s="282"/>
      <c r="N9" s="282"/>
      <c r="O9" s="282"/>
      <c r="P9" s="282"/>
      <c r="Q9" s="282"/>
      <c r="R9" s="282"/>
      <c r="S9" s="282"/>
      <c r="T9" s="279"/>
    </row>
    <row r="10" spans="2:20" x14ac:dyDescent="0.25">
      <c r="B10" s="281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79"/>
    </row>
    <row r="11" spans="2:20" ht="25.5" x14ac:dyDescent="0.25">
      <c r="B11" s="281"/>
      <c r="C11" s="284" t="s">
        <v>185</v>
      </c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79"/>
    </row>
    <row r="12" spans="2:20" x14ac:dyDescent="0.25"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79"/>
    </row>
    <row r="13" spans="2:20" ht="23.25" x14ac:dyDescent="0.25">
      <c r="B13" s="281"/>
      <c r="C13" s="283" t="s">
        <v>184</v>
      </c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79"/>
    </row>
    <row r="14" spans="2:20" x14ac:dyDescent="0.25">
      <c r="B14" s="281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79"/>
    </row>
    <row r="15" spans="2:20" x14ac:dyDescent="0.25">
      <c r="B15" s="281"/>
      <c r="C15" s="280" t="s">
        <v>183</v>
      </c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79"/>
    </row>
    <row r="16" spans="2:20" ht="15.75" thickBot="1" x14ac:dyDescent="0.3">
      <c r="B16" s="278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6"/>
    </row>
  </sheetData>
  <sheetProtection algorithmName="SHA-512" hashValue="ORi57UcpkC7N0vY17IlNqKvQ7Vd6dnwsWGm7eXUxOnwtMOrx92lPqmZGuVT+KYadttbykeR8jfKPfpqyNuRIcQ==" saltValue="rSu+GgVbDzhRDsXRxrXlWg==" spinCount="100000" sheet="1" objects="1" scenarios="1"/>
  <mergeCells count="11">
    <mergeCell ref="J9:L9"/>
    <mergeCell ref="C11:S11"/>
    <mergeCell ref="C13:S13"/>
    <mergeCell ref="C16:S16"/>
    <mergeCell ref="C15:S15"/>
    <mergeCell ref="B2:T2"/>
    <mergeCell ref="J4:L4"/>
    <mergeCell ref="J6:L6"/>
    <mergeCell ref="J7:L7"/>
    <mergeCell ref="J5:L5"/>
    <mergeCell ref="J8:L8"/>
  </mergeCells>
  <hyperlinks>
    <hyperlink ref="J4:L4" location="' Single Adult'!A1" display="Single disabled adult"/>
    <hyperlink ref="J5:L5" location="'Couple, both disabled'!A1" display="◦ Couple, both disabled"/>
    <hyperlink ref="J6:L6" location="'Couple, 1 with disability'!A1" display="◦ Couple, one with disability"/>
    <hyperlink ref="J7:L7" location="'Disabled child &lt; 18 '!A1" display="◦ Disabled child under 18"/>
    <hyperlink ref="J8:L8" location="' Blind Single'!A1" display="Single blind adult"/>
    <hyperlink ref="J9:L9" location="'Couple, 1 blind'!A1" display="◦ Couple, one blind"/>
  </hyperlinks>
  <pageMargins left="0.25" right="0.25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61"/>
  <sheetViews>
    <sheetView showGridLines="0" view="pageLayout" zoomScale="91" zoomScaleNormal="110" zoomScaleSheetLayoutView="90" zoomScalePageLayoutView="91" workbookViewId="0">
      <selection activeCell="C4" sqref="C4"/>
    </sheetView>
  </sheetViews>
  <sheetFormatPr defaultColWidth="8.7109375" defaultRowHeight="15" x14ac:dyDescent="0.25"/>
  <cols>
    <col min="1" max="1" width="4.42578125" customWidth="1"/>
    <col min="2" max="2" width="21.42578125" customWidth="1"/>
    <col min="3" max="3" width="16.7109375" customWidth="1"/>
    <col min="4" max="4" width="26" customWidth="1"/>
    <col min="5" max="5" width="15.7109375" customWidth="1"/>
  </cols>
  <sheetData>
    <row r="1" spans="1:5" ht="21.75" customHeight="1" thickBot="1" x14ac:dyDescent="0.3">
      <c r="A1" s="150" t="s">
        <v>144</v>
      </c>
      <c r="B1" s="150"/>
      <c r="C1" s="150"/>
      <c r="D1" s="150"/>
      <c r="E1" s="150"/>
    </row>
    <row r="2" spans="1:5" ht="21.75" customHeight="1" thickTop="1" thickBot="1" x14ac:dyDescent="0.3">
      <c r="A2" s="151" t="s">
        <v>140</v>
      </c>
      <c r="B2" s="152"/>
      <c r="C2" s="152"/>
      <c r="D2" s="152"/>
      <c r="E2" s="152"/>
    </row>
    <row r="3" spans="1:5" ht="16.5" customHeight="1" thickTop="1" x14ac:dyDescent="0.25">
      <c r="A3" s="153" t="s">
        <v>104</v>
      </c>
      <c r="B3" s="154"/>
      <c r="C3" s="154"/>
      <c r="D3" s="154"/>
      <c r="E3" s="154"/>
    </row>
    <row r="4" spans="1:5" ht="15.75" customHeight="1" x14ac:dyDescent="0.25">
      <c r="A4" s="155" t="s">
        <v>0</v>
      </c>
      <c r="B4" s="155"/>
      <c r="C4" s="38"/>
      <c r="D4" s="4"/>
      <c r="E4" s="3"/>
    </row>
    <row r="5" spans="1:5" ht="21.75" customHeight="1" x14ac:dyDescent="0.25">
      <c r="A5" s="155" t="s">
        <v>1</v>
      </c>
      <c r="B5" s="155"/>
      <c r="C5" s="156"/>
      <c r="D5" s="156"/>
      <c r="E5" s="3"/>
    </row>
    <row r="6" spans="1:5" s="2" customFormat="1" ht="24" customHeight="1" x14ac:dyDescent="0.25">
      <c r="A6" s="157" t="s">
        <v>2</v>
      </c>
      <c r="B6" s="157"/>
      <c r="C6" s="158" t="s">
        <v>83</v>
      </c>
      <c r="D6" s="158"/>
      <c r="E6" s="5"/>
    </row>
    <row r="7" spans="1:5" s="2" customFormat="1" ht="20.25" customHeight="1" x14ac:dyDescent="0.25">
      <c r="A7" s="159" t="s">
        <v>38</v>
      </c>
      <c r="B7" s="159"/>
      <c r="C7" s="159"/>
      <c r="D7" s="159"/>
      <c r="E7" s="159"/>
    </row>
    <row r="8" spans="1:5" ht="23.25" customHeight="1" thickBot="1" x14ac:dyDescent="0.3">
      <c r="A8" s="160" t="s">
        <v>3</v>
      </c>
      <c r="B8" s="160"/>
      <c r="C8" s="160"/>
      <c r="D8" s="160"/>
      <c r="E8" s="160"/>
    </row>
    <row r="9" spans="1:5" ht="32.25" customHeight="1" thickTop="1" thickBot="1" x14ac:dyDescent="0.3">
      <c r="A9" s="161" t="s">
        <v>40</v>
      </c>
      <c r="B9" s="161"/>
      <c r="C9" s="161"/>
      <c r="D9" s="161"/>
      <c r="E9" s="45"/>
    </row>
    <row r="10" spans="1:5" s="8" customFormat="1" ht="18" customHeight="1" thickTop="1" x14ac:dyDescent="0.25">
      <c r="A10" s="7" t="s">
        <v>4</v>
      </c>
      <c r="B10" s="148" t="s">
        <v>49</v>
      </c>
      <c r="C10" s="148"/>
      <c r="D10" s="149"/>
      <c r="E10" s="70">
        <v>0</v>
      </c>
    </row>
    <row r="11" spans="1:5" s="8" customFormat="1" ht="18" customHeight="1" x14ac:dyDescent="0.25">
      <c r="A11" s="7" t="s">
        <v>5</v>
      </c>
      <c r="B11" s="148" t="s">
        <v>15</v>
      </c>
      <c r="C11" s="148"/>
      <c r="D11" s="149"/>
      <c r="E11" s="70">
        <v>0</v>
      </c>
    </row>
    <row r="12" spans="1:5" s="8" customFormat="1" ht="18" customHeight="1" x14ac:dyDescent="0.25">
      <c r="A12" s="7" t="s">
        <v>6</v>
      </c>
      <c r="B12" s="148" t="s">
        <v>16</v>
      </c>
      <c r="C12" s="148"/>
      <c r="D12" s="149"/>
      <c r="E12" s="70">
        <v>0</v>
      </c>
    </row>
    <row r="13" spans="1:5" s="8" customFormat="1" ht="18" customHeight="1" x14ac:dyDescent="0.25">
      <c r="A13" s="7" t="s">
        <v>7</v>
      </c>
      <c r="B13" s="164" t="s">
        <v>97</v>
      </c>
      <c r="C13" s="164"/>
      <c r="D13" s="165"/>
      <c r="E13" s="71">
        <v>0</v>
      </c>
    </row>
    <row r="14" spans="1:5" s="8" customFormat="1" ht="18" customHeight="1" thickBot="1" x14ac:dyDescent="0.3">
      <c r="A14" s="29"/>
      <c r="B14" s="166"/>
      <c r="C14" s="166"/>
      <c r="D14" s="167"/>
      <c r="E14" s="72"/>
    </row>
    <row r="15" spans="1:5" s="8" customFormat="1" ht="24" customHeight="1" thickTop="1" thickBot="1" x14ac:dyDescent="0.3">
      <c r="A15" s="168" t="s">
        <v>43</v>
      </c>
      <c r="B15" s="168"/>
      <c r="C15" s="168"/>
      <c r="D15" s="168"/>
      <c r="E15" s="28"/>
    </row>
    <row r="16" spans="1:5" ht="15" customHeight="1" thickTop="1" x14ac:dyDescent="0.25">
      <c r="A16" s="9" t="s">
        <v>8</v>
      </c>
      <c r="B16" s="169" t="s">
        <v>39</v>
      </c>
      <c r="C16" s="169"/>
      <c r="D16" s="170"/>
      <c r="E16" s="13">
        <f xml:space="preserve"> E10+E11</f>
        <v>0</v>
      </c>
    </row>
    <row r="17" spans="1:105" ht="15" customHeight="1" x14ac:dyDescent="0.25">
      <c r="A17" s="9" t="s">
        <v>9</v>
      </c>
      <c r="B17" s="171" t="s">
        <v>42</v>
      </c>
      <c r="C17" s="171"/>
      <c r="D17" s="172"/>
      <c r="E17" s="12">
        <f>IF(E16&gt;0,20,0)</f>
        <v>0</v>
      </c>
    </row>
    <row r="18" spans="1:105" ht="15" customHeight="1" x14ac:dyDescent="0.25">
      <c r="A18" s="9" t="s">
        <v>10</v>
      </c>
      <c r="B18" s="171" t="s">
        <v>95</v>
      </c>
      <c r="C18" s="171"/>
      <c r="D18" s="172"/>
      <c r="E18" s="16">
        <f>IF(E16&gt;0,IF((E16-(E12+E13+E17))&gt;0,E16-(E12+E13+E17),0),0)</f>
        <v>0</v>
      </c>
    </row>
    <row r="19" spans="1:105" ht="15.75" customHeight="1" x14ac:dyDescent="0.25">
      <c r="A19" s="35"/>
      <c r="B19" s="173" t="s">
        <v>83</v>
      </c>
      <c r="C19" s="175" t="s">
        <v>47</v>
      </c>
      <c r="D19" s="176"/>
      <c r="E19" s="18">
        <f>ROUNDDOWN(IF(E18-D32&gt;0,E18-D32,0),0)</f>
        <v>0</v>
      </c>
    </row>
    <row r="20" spans="1:105" ht="24.6" customHeight="1" thickBot="1" x14ac:dyDescent="0.3">
      <c r="A20" s="34"/>
      <c r="B20" s="174"/>
      <c r="C20" s="177" t="s">
        <v>178</v>
      </c>
      <c r="D20" s="178"/>
      <c r="E20" s="17"/>
    </row>
    <row r="21" spans="1:105" ht="32.25" customHeight="1" thickTop="1" thickBot="1" x14ac:dyDescent="0.3">
      <c r="A21" s="161" t="s">
        <v>44</v>
      </c>
      <c r="B21" s="161"/>
      <c r="C21" s="161"/>
      <c r="D21" s="161"/>
      <c r="E21" s="45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</row>
    <row r="22" spans="1:105" ht="18" customHeight="1" thickTop="1" x14ac:dyDescent="0.25">
      <c r="A22" s="36" t="s">
        <v>11</v>
      </c>
      <c r="B22" s="162" t="s">
        <v>166</v>
      </c>
      <c r="C22" s="162"/>
      <c r="D22" s="163"/>
      <c r="E22" s="70"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8" customHeight="1" thickBot="1" x14ac:dyDescent="0.3">
      <c r="A23" s="6" t="s">
        <v>12</v>
      </c>
      <c r="B23" s="179" t="s">
        <v>165</v>
      </c>
      <c r="C23" s="179"/>
      <c r="D23" s="179"/>
      <c r="E23" s="70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s="1" customFormat="1" ht="32.25" customHeight="1" thickTop="1" thickBot="1" x14ac:dyDescent="0.3">
      <c r="A24" s="161" t="s">
        <v>45</v>
      </c>
      <c r="B24" s="161"/>
      <c r="C24" s="161"/>
      <c r="D24" s="161"/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s="1" customFormat="1" ht="15.75" customHeight="1" thickTop="1" x14ac:dyDescent="0.25">
      <c r="A25" s="9" t="s">
        <v>13</v>
      </c>
      <c r="B25" s="180" t="s">
        <v>41</v>
      </c>
      <c r="C25" s="180"/>
      <c r="D25" s="181"/>
      <c r="E25" s="13">
        <f>IF((E22+E23)&gt;0,E10+E11,0)</f>
        <v>0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s="1" customFormat="1" ht="15.75" customHeight="1" x14ac:dyDescent="0.25">
      <c r="A26" s="9" t="s">
        <v>14</v>
      </c>
      <c r="B26" s="171" t="s">
        <v>42</v>
      </c>
      <c r="C26" s="171"/>
      <c r="D26" s="172"/>
      <c r="E26" s="12">
        <f>IF((E22+E23)&gt;0,20,0)</f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15.75" customHeight="1" x14ac:dyDescent="0.25">
      <c r="A27" s="9" t="s">
        <v>18</v>
      </c>
      <c r="B27" s="171" t="s">
        <v>17</v>
      </c>
      <c r="C27" s="171"/>
      <c r="D27" s="172"/>
      <c r="E27" s="13">
        <f>IF(E22+E23=0,0,(IF(E10&gt;50,50,E10)))</f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15.75" customHeight="1" x14ac:dyDescent="0.25">
      <c r="A28" s="9" t="s">
        <v>19</v>
      </c>
      <c r="B28" s="171" t="s">
        <v>23</v>
      </c>
      <c r="C28" s="171"/>
      <c r="D28" s="172"/>
      <c r="E28" s="12">
        <f>IF(E12&gt;75,E12,IF(E12&gt;0,75,0))</f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15.75" customHeight="1" x14ac:dyDescent="0.25">
      <c r="A29" s="9" t="s">
        <v>20</v>
      </c>
      <c r="B29" s="171" t="s">
        <v>98</v>
      </c>
      <c r="C29" s="171"/>
      <c r="D29" s="172"/>
      <c r="E29" s="12">
        <f>E13</f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5.75" customHeight="1" x14ac:dyDescent="0.25">
      <c r="A30" s="9" t="s">
        <v>25</v>
      </c>
      <c r="B30" s="171" t="s">
        <v>24</v>
      </c>
      <c r="C30" s="171"/>
      <c r="D30" s="172"/>
      <c r="E30" s="12">
        <f>IF(E22+E23&gt;0,(E22+E23)/2,0)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.75" customHeight="1" x14ac:dyDescent="0.25">
      <c r="A31" s="21" t="s">
        <v>28</v>
      </c>
      <c r="B31" s="182" t="s">
        <v>46</v>
      </c>
      <c r="C31" s="182"/>
      <c r="D31" s="183"/>
      <c r="E31" s="40">
        <f>IF((E10+E11)-(E26+E27+E28+E29+E30)&gt;0,(E10+E11)-(E26+E27+E28+E29+E30),0)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ht="15.75" customHeight="1" x14ac:dyDescent="0.25">
      <c r="A32" s="24"/>
      <c r="B32" s="53" t="s">
        <v>91</v>
      </c>
      <c r="C32" s="19" t="s">
        <v>22</v>
      </c>
      <c r="D32" s="20">
        <v>1033</v>
      </c>
      <c r="E32" s="76" t="str">
        <f>IF((E22+E23)&gt;0,IF(E31&gt;D32,"Ineligible","Eligible")," Ineligible")</f>
        <v xml:space="preserve"> Ineligible</v>
      </c>
    </row>
    <row r="33" spans="1:5" ht="18" customHeight="1" x14ac:dyDescent="0.25">
      <c r="A33" s="37" t="s">
        <v>29</v>
      </c>
      <c r="B33" s="184" t="s">
        <v>157</v>
      </c>
      <c r="C33" s="184"/>
      <c r="D33" s="185"/>
      <c r="E33" s="22">
        <f>IF((E22+E23)&gt;0,E23+E10+E11,0)</f>
        <v>0</v>
      </c>
    </row>
    <row r="34" spans="1:5" ht="15.75" customHeight="1" x14ac:dyDescent="0.25">
      <c r="A34" s="24"/>
      <c r="B34" s="53" t="s">
        <v>145</v>
      </c>
      <c r="C34" s="19" t="s">
        <v>32</v>
      </c>
      <c r="D34" s="20">
        <v>3645</v>
      </c>
      <c r="E34" s="23" t="str">
        <f>IF((E22+E23)&gt;0,IF(E33&gt;D34,"Ineligible","Eligible"),"Ineligible ")</f>
        <v xml:space="preserve">Ineligible </v>
      </c>
    </row>
    <row r="35" spans="1:5" ht="15.75" customHeight="1" thickBot="1" x14ac:dyDescent="0.3">
      <c r="A35" s="31"/>
      <c r="B35" s="186" t="s">
        <v>21</v>
      </c>
      <c r="C35" s="186"/>
      <c r="D35" s="187"/>
      <c r="E35" s="27" t="str">
        <f>IF(E32="Eligible",IF(E34="Eligible","Eligible","Ineligible"),"Ineligible")</f>
        <v>Ineligible</v>
      </c>
    </row>
    <row r="36" spans="1:5" ht="43.35" customHeight="1" thickTop="1" thickBot="1" x14ac:dyDescent="0.3">
      <c r="A36" s="168" t="s">
        <v>33</v>
      </c>
      <c r="B36" s="168"/>
      <c r="C36" s="168"/>
      <c r="D36" s="168"/>
      <c r="E36" s="44"/>
    </row>
    <row r="37" spans="1:5" ht="30.75" customHeight="1" thickTop="1" x14ac:dyDescent="0.25">
      <c r="A37" s="15"/>
      <c r="B37" s="191" t="s">
        <v>167</v>
      </c>
      <c r="C37" s="191"/>
      <c r="D37" s="191"/>
      <c r="E37" s="191"/>
    </row>
    <row r="38" spans="1:5" ht="24.6" customHeight="1" x14ac:dyDescent="0.25">
      <c r="A38" s="15"/>
      <c r="B38" s="41" t="s">
        <v>34</v>
      </c>
      <c r="C38" s="81">
        <v>3037.99</v>
      </c>
      <c r="D38" s="84" t="s">
        <v>35</v>
      </c>
      <c r="E38" s="81">
        <v>156</v>
      </c>
    </row>
    <row r="39" spans="1:5" ht="24.6" customHeight="1" x14ac:dyDescent="0.25">
      <c r="A39" s="15"/>
      <c r="B39" s="41" t="s">
        <v>34</v>
      </c>
      <c r="C39" s="82">
        <v>2429.9899999999998</v>
      </c>
      <c r="D39" s="84" t="s">
        <v>35</v>
      </c>
      <c r="E39" s="81">
        <v>104</v>
      </c>
    </row>
    <row r="40" spans="1:5" s="8" customFormat="1" ht="24.6" customHeight="1" x14ac:dyDescent="0.25">
      <c r="A40" s="15"/>
      <c r="B40" s="41" t="s">
        <v>34</v>
      </c>
      <c r="C40" s="82">
        <v>1822.99</v>
      </c>
      <c r="D40" s="84" t="s">
        <v>35</v>
      </c>
      <c r="E40" s="81">
        <v>62</v>
      </c>
    </row>
    <row r="41" spans="1:5" s="8" customFormat="1" ht="24.6" customHeight="1" x14ac:dyDescent="0.25">
      <c r="A41" s="15"/>
      <c r="B41" s="41" t="s">
        <v>34</v>
      </c>
      <c r="C41" s="82">
        <v>1215</v>
      </c>
      <c r="D41" s="84" t="s">
        <v>35</v>
      </c>
      <c r="E41" s="81">
        <v>42</v>
      </c>
    </row>
    <row r="42" spans="1:5" ht="24" customHeight="1" x14ac:dyDescent="0.25">
      <c r="A42" s="15"/>
      <c r="B42" s="77">
        <f>C41</f>
        <v>1215</v>
      </c>
      <c r="C42" s="78" t="s">
        <v>102</v>
      </c>
      <c r="D42" s="43" t="s">
        <v>35</v>
      </c>
      <c r="E42" s="42">
        <v>0</v>
      </c>
    </row>
    <row r="43" spans="1:5" ht="18" customHeight="1" x14ac:dyDescent="0.25">
      <c r="A43" s="9" t="s">
        <v>30</v>
      </c>
      <c r="B43" s="171" t="s">
        <v>37</v>
      </c>
      <c r="C43" s="171"/>
      <c r="D43" s="172"/>
      <c r="E43" s="14">
        <f>E33</f>
        <v>0</v>
      </c>
    </row>
    <row r="44" spans="1:5" ht="18" x14ac:dyDescent="0.25">
      <c r="A44" s="33"/>
      <c r="B44" s="192" t="s">
        <v>36</v>
      </c>
      <c r="C44" s="192"/>
      <c r="D44" s="193"/>
      <c r="E44" s="32" t="str">
        <f>IF(E35="Eligible",(IF(E33&gt;C38,E38,(IF(E33&gt;C39,E39,(IF(E33&gt;C40,E40,(IF(E33&gt;C41,E41,0)))))))), " ")</f>
        <v xml:space="preserve"> </v>
      </c>
    </row>
    <row r="45" spans="1:5" ht="43.35" customHeight="1" thickBot="1" x14ac:dyDescent="0.3">
      <c r="A45" s="168" t="s">
        <v>48</v>
      </c>
      <c r="B45" s="168"/>
      <c r="C45" s="168"/>
      <c r="D45" s="168"/>
      <c r="E45" s="28"/>
    </row>
    <row r="46" spans="1:5" ht="30.6" customHeight="1" thickTop="1" x14ac:dyDescent="0.25">
      <c r="A46" s="191" t="s">
        <v>149</v>
      </c>
      <c r="B46" s="191"/>
      <c r="C46" s="191"/>
      <c r="D46" s="191"/>
      <c r="E46" s="191"/>
    </row>
    <row r="47" spans="1:5" ht="18" x14ac:dyDescent="0.25">
      <c r="A47" s="10"/>
      <c r="B47" s="194" t="s">
        <v>107</v>
      </c>
      <c r="C47" s="194"/>
      <c r="D47" s="195"/>
      <c r="E47" s="39">
        <f>IF(E23&gt;65,ROUNDDOWN(((E10+E11)-(E12+E13+20))+((E23-65)/2)-D32,0),E19)</f>
        <v>0</v>
      </c>
    </row>
    <row r="48" spans="1:5" ht="43.35" customHeight="1" thickBot="1" x14ac:dyDescent="0.3">
      <c r="A48" s="168" t="s">
        <v>73</v>
      </c>
      <c r="B48" s="168"/>
      <c r="C48" s="168"/>
      <c r="D48" s="168"/>
      <c r="E48" s="168"/>
    </row>
    <row r="49" spans="1:5" ht="15.75" thickTop="1" x14ac:dyDescent="0.25">
      <c r="A49" s="196" t="s">
        <v>76</v>
      </c>
      <c r="B49" s="197"/>
      <c r="C49" s="197"/>
      <c r="D49" s="197"/>
      <c r="E49" s="198"/>
    </row>
    <row r="50" spans="1:5" s="55" customFormat="1" ht="14.85" customHeight="1" x14ac:dyDescent="0.2">
      <c r="A50" s="199" t="s">
        <v>85</v>
      </c>
      <c r="B50" s="200"/>
      <c r="C50" s="200"/>
      <c r="D50" s="201"/>
      <c r="E50" s="54">
        <f>E10+E11</f>
        <v>0</v>
      </c>
    </row>
    <row r="51" spans="1:5" s="55" customFormat="1" ht="14.85" customHeight="1" x14ac:dyDescent="0.2">
      <c r="A51" s="199" t="s">
        <v>77</v>
      </c>
      <c r="B51" s="200"/>
      <c r="C51" s="200"/>
      <c r="D51" s="201"/>
      <c r="E51" s="54">
        <f>0-(E12+E13)</f>
        <v>0</v>
      </c>
    </row>
    <row r="52" spans="1:5" s="55" customFormat="1" ht="14.85" customHeight="1" x14ac:dyDescent="0.2">
      <c r="A52" s="202" t="s">
        <v>78</v>
      </c>
      <c r="B52" s="203"/>
      <c r="C52" s="203"/>
      <c r="D52" s="204"/>
      <c r="E52" s="54">
        <f>0-E19</f>
        <v>0</v>
      </c>
    </row>
    <row r="53" spans="1:5" ht="18" customHeight="1" x14ac:dyDescent="0.25">
      <c r="A53" s="188" t="s">
        <v>79</v>
      </c>
      <c r="B53" s="189"/>
      <c r="C53" s="189"/>
      <c r="D53" s="190"/>
      <c r="E53" s="12">
        <f>E50+E51+E52</f>
        <v>0</v>
      </c>
    </row>
    <row r="54" spans="1:5" ht="19.5" customHeight="1" x14ac:dyDescent="0.25">
      <c r="A54" s="208" t="s">
        <v>84</v>
      </c>
      <c r="B54" s="209"/>
      <c r="C54" s="209"/>
      <c r="D54" s="209"/>
      <c r="E54" s="210"/>
    </row>
    <row r="55" spans="1:5" s="55" customFormat="1" ht="14.85" customHeight="1" x14ac:dyDescent="0.2">
      <c r="A55" s="199" t="s">
        <v>85</v>
      </c>
      <c r="B55" s="200"/>
      <c r="C55" s="200"/>
      <c r="D55" s="201"/>
      <c r="E55" s="54">
        <f>E10+E11</f>
        <v>0</v>
      </c>
    </row>
    <row r="56" spans="1:5" s="55" customFormat="1" ht="14.85" customHeight="1" x14ac:dyDescent="0.2">
      <c r="A56" s="199" t="s">
        <v>77</v>
      </c>
      <c r="B56" s="200"/>
      <c r="C56" s="200"/>
      <c r="D56" s="201"/>
      <c r="E56" s="54">
        <f>0-(E12+E13)</f>
        <v>0</v>
      </c>
    </row>
    <row r="57" spans="1:5" s="55" customFormat="1" ht="14.85" customHeight="1" x14ac:dyDescent="0.2">
      <c r="A57" s="199" t="s">
        <v>80</v>
      </c>
      <c r="B57" s="200"/>
      <c r="C57" s="200"/>
      <c r="D57" s="201"/>
      <c r="E57" s="54">
        <f>E22+E23</f>
        <v>0</v>
      </c>
    </row>
    <row r="58" spans="1:5" s="55" customFormat="1" ht="14.85" customHeight="1" x14ac:dyDescent="0.2">
      <c r="A58" s="202" t="s">
        <v>75</v>
      </c>
      <c r="B58" s="203"/>
      <c r="C58" s="203"/>
      <c r="D58" s="204"/>
      <c r="E58" s="56">
        <f>IF(E35="Eligible",(0-E44), 0)</f>
        <v>0</v>
      </c>
    </row>
    <row r="59" spans="1:5" s="55" customFormat="1" ht="14.85" customHeight="1" x14ac:dyDescent="0.2">
      <c r="A59" s="199" t="s">
        <v>82</v>
      </c>
      <c r="B59" s="200"/>
      <c r="C59" s="200"/>
      <c r="D59" s="201"/>
      <c r="E59" s="56">
        <f>IF(E35="Eligible",0,(0-E47))</f>
        <v>0</v>
      </c>
    </row>
    <row r="60" spans="1:5" ht="18" customHeight="1" x14ac:dyDescent="0.25">
      <c r="A60" s="188" t="s">
        <v>81</v>
      </c>
      <c r="B60" s="189"/>
      <c r="C60" s="189"/>
      <c r="D60" s="190"/>
      <c r="E60" s="12">
        <f>(E10+E11)-(E12+E13)+E57+E58+E59</f>
        <v>0</v>
      </c>
    </row>
    <row r="61" spans="1:5" ht="21.6" customHeight="1" x14ac:dyDescent="0.25">
      <c r="A61" s="205" t="s">
        <v>86</v>
      </c>
      <c r="B61" s="206"/>
      <c r="C61" s="206"/>
      <c r="D61" s="207"/>
      <c r="E61" s="57">
        <f>E60-E53</f>
        <v>0</v>
      </c>
    </row>
  </sheetData>
  <sheetProtection algorithmName="SHA-512" hashValue="zrnFtTO+Zyj48qDuLKZmkXlGiAfEA4QScSiRU70O/LqJwMQ8MQIxBzbJHsBXaRlweFfLfCxrSaBVoTtECbQi1Q==" saltValue="RDHVP+98I0h9jNLRnPwtDw==" spinCount="100000" sheet="1" selectLockedCells="1"/>
  <mergeCells count="56">
    <mergeCell ref="A60:D60"/>
    <mergeCell ref="A61:D61"/>
    <mergeCell ref="A54:E54"/>
    <mergeCell ref="A55:D55"/>
    <mergeCell ref="A56:D56"/>
    <mergeCell ref="A57:D57"/>
    <mergeCell ref="A58:D58"/>
    <mergeCell ref="A59:D59"/>
    <mergeCell ref="A53:D53"/>
    <mergeCell ref="B37:E37"/>
    <mergeCell ref="B43:D43"/>
    <mergeCell ref="B44:D44"/>
    <mergeCell ref="A45:D45"/>
    <mergeCell ref="A46:E46"/>
    <mergeCell ref="B47:D47"/>
    <mergeCell ref="A48:E48"/>
    <mergeCell ref="A49:E49"/>
    <mergeCell ref="A50:D50"/>
    <mergeCell ref="A51:D51"/>
    <mergeCell ref="A52:D52"/>
    <mergeCell ref="A36:D36"/>
    <mergeCell ref="B23:D23"/>
    <mergeCell ref="A24:D24"/>
    <mergeCell ref="B25:D25"/>
    <mergeCell ref="B26:D26"/>
    <mergeCell ref="B27:D27"/>
    <mergeCell ref="B28:D28"/>
    <mergeCell ref="B29:D29"/>
    <mergeCell ref="B30:D30"/>
    <mergeCell ref="B31:D31"/>
    <mergeCell ref="B33:D33"/>
    <mergeCell ref="B35:D35"/>
    <mergeCell ref="B22:D22"/>
    <mergeCell ref="B11:D11"/>
    <mergeCell ref="B12:D12"/>
    <mergeCell ref="B13:D14"/>
    <mergeCell ref="A15:D15"/>
    <mergeCell ref="B16:D16"/>
    <mergeCell ref="B17:D17"/>
    <mergeCell ref="B18:D18"/>
    <mergeCell ref="B19:B20"/>
    <mergeCell ref="C19:D19"/>
    <mergeCell ref="C20:D20"/>
    <mergeCell ref="A21:D21"/>
    <mergeCell ref="B10:D10"/>
    <mergeCell ref="A1:E1"/>
    <mergeCell ref="A2:E2"/>
    <mergeCell ref="A3:E3"/>
    <mergeCell ref="A4:B4"/>
    <mergeCell ref="A5:B5"/>
    <mergeCell ref="C5:D5"/>
    <mergeCell ref="A6:B6"/>
    <mergeCell ref="C6:D6"/>
    <mergeCell ref="A7:E7"/>
    <mergeCell ref="A8:E8"/>
    <mergeCell ref="A9:D9"/>
  </mergeCells>
  <pageMargins left="0.7" right="0.7" top="0.67" bottom="1" header="0.3" footer="0.3"/>
  <pageSetup orientation="portrait" r:id="rId1"/>
  <headerFooter differentFirst="1">
    <oddHeader xml:space="preserve">&amp;L&amp;10Spend Down or Ticket to Work Health Assurance Calculation for Single Adults
</oddHeader>
    <oddFooter xml:space="preserve">&amp;L&amp;"Calibri,Regular"&amp;8&amp;K000000
&amp;R&amp;"Calibri,Regular"&amp;8&amp;K000000 Page &amp;P
Revised 3/14/23
</oddFooter>
    <firstHeader>&amp;C&amp;"-,Bold"&amp;18Spend Down or Ticket to Work Health Assurance</firstHeader>
    <firstFooter>&amp;L&amp;8
&amp;R&amp;8Revised  3/14/23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77"/>
  <sheetViews>
    <sheetView showGridLines="0" view="pageLayout" zoomScaleNormal="110" zoomScaleSheetLayoutView="90" workbookViewId="0">
      <selection activeCell="C7" sqref="C7:E7"/>
    </sheetView>
  </sheetViews>
  <sheetFormatPr defaultColWidth="8.7109375" defaultRowHeight="15" x14ac:dyDescent="0.25"/>
  <cols>
    <col min="1" max="1" width="6.28515625" customWidth="1"/>
    <col min="2" max="2" width="21.42578125" customWidth="1"/>
    <col min="3" max="3" width="18.140625" customWidth="1"/>
    <col min="4" max="4" width="26.7109375" customWidth="1"/>
    <col min="5" max="5" width="16.42578125" customWidth="1"/>
  </cols>
  <sheetData>
    <row r="1" spans="1:5" ht="21.75" customHeight="1" thickBot="1" x14ac:dyDescent="0.3">
      <c r="A1" s="220" t="s">
        <v>146</v>
      </c>
      <c r="B1" s="220"/>
      <c r="C1" s="220"/>
      <c r="D1" s="220"/>
      <c r="E1" s="220"/>
    </row>
    <row r="2" spans="1:5" ht="15" customHeight="1" thickTop="1" x14ac:dyDescent="0.25">
      <c r="A2" s="221" t="s">
        <v>141</v>
      </c>
      <c r="B2" s="222"/>
      <c r="C2" s="222"/>
      <c r="D2" s="222"/>
      <c r="E2" s="222"/>
    </row>
    <row r="3" spans="1:5" ht="15.75" customHeight="1" thickBot="1" x14ac:dyDescent="0.3">
      <c r="A3" s="223" t="s">
        <v>50</v>
      </c>
      <c r="B3" s="224"/>
      <c r="C3" s="224"/>
      <c r="D3" s="224"/>
      <c r="E3" s="224"/>
    </row>
    <row r="4" spans="1:5" ht="13.5" customHeight="1" thickTop="1" x14ac:dyDescent="0.25">
      <c r="A4" s="225" t="s">
        <v>104</v>
      </c>
      <c r="B4" s="226"/>
      <c r="C4" s="226"/>
      <c r="D4" s="226"/>
      <c r="E4" s="226"/>
    </row>
    <row r="5" spans="1:5" s="2" customFormat="1" ht="24" customHeight="1" x14ac:dyDescent="0.25">
      <c r="A5" s="155" t="s">
        <v>0</v>
      </c>
      <c r="B5" s="155"/>
      <c r="C5" s="38" t="s">
        <v>83</v>
      </c>
      <c r="D5" s="4"/>
      <c r="E5" s="3"/>
    </row>
    <row r="6" spans="1:5" s="2" customFormat="1" ht="24.75" customHeight="1" x14ac:dyDescent="0.25">
      <c r="A6" s="155" t="s">
        <v>51</v>
      </c>
      <c r="B6" s="155"/>
      <c r="C6" s="219" t="s">
        <v>83</v>
      </c>
      <c r="D6" s="219"/>
      <c r="E6" s="219"/>
    </row>
    <row r="7" spans="1:5" ht="19.5" customHeight="1" x14ac:dyDescent="0.25">
      <c r="A7" s="157" t="s">
        <v>2</v>
      </c>
      <c r="B7" s="157"/>
      <c r="C7" s="229" t="s">
        <v>182</v>
      </c>
      <c r="D7" s="229"/>
      <c r="E7" s="229"/>
    </row>
    <row r="8" spans="1:5" ht="24" customHeight="1" x14ac:dyDescent="0.25">
      <c r="A8" s="159" t="s">
        <v>38</v>
      </c>
      <c r="B8" s="159"/>
      <c r="C8" s="159"/>
      <c r="D8" s="159"/>
      <c r="E8" s="159"/>
    </row>
    <row r="9" spans="1:5" s="8" customFormat="1" ht="18" customHeight="1" thickBot="1" x14ac:dyDescent="0.3">
      <c r="A9" s="160" t="s">
        <v>3</v>
      </c>
      <c r="B9" s="160"/>
      <c r="C9" s="160"/>
      <c r="D9" s="160"/>
      <c r="E9" s="160"/>
    </row>
    <row r="10" spans="1:5" s="8" customFormat="1" ht="36.75" customHeight="1" thickTop="1" thickBot="1" x14ac:dyDescent="0.3">
      <c r="A10" s="161" t="s">
        <v>40</v>
      </c>
      <c r="B10" s="161"/>
      <c r="C10" s="161"/>
      <c r="D10" s="161"/>
      <c r="E10" s="45"/>
    </row>
    <row r="11" spans="1:5" s="8" customFormat="1" ht="18" customHeight="1" thickTop="1" x14ac:dyDescent="0.25">
      <c r="A11" s="46" t="s">
        <v>103</v>
      </c>
      <c r="B11" s="148" t="s">
        <v>67</v>
      </c>
      <c r="C11" s="148"/>
      <c r="D11" s="149"/>
      <c r="E11" s="73">
        <v>0</v>
      </c>
    </row>
    <row r="12" spans="1:5" s="8" customFormat="1" ht="18" customHeight="1" x14ac:dyDescent="0.25">
      <c r="A12" s="46"/>
      <c r="B12" s="230" t="s">
        <v>68</v>
      </c>
      <c r="C12" s="230"/>
      <c r="D12" s="231"/>
      <c r="E12" s="73">
        <v>0</v>
      </c>
    </row>
    <row r="13" spans="1:5" s="8" customFormat="1" ht="18" customHeight="1" x14ac:dyDescent="0.25">
      <c r="A13" s="46" t="s">
        <v>5</v>
      </c>
      <c r="B13" s="148" t="s">
        <v>52</v>
      </c>
      <c r="C13" s="148"/>
      <c r="D13" s="149"/>
      <c r="E13" s="73">
        <v>0</v>
      </c>
    </row>
    <row r="14" spans="1:5" s="8" customFormat="1" ht="16.5" customHeight="1" x14ac:dyDescent="0.25">
      <c r="A14" s="46" t="s">
        <v>6</v>
      </c>
      <c r="B14" s="148" t="s">
        <v>65</v>
      </c>
      <c r="C14" s="148"/>
      <c r="D14" s="149"/>
      <c r="E14" s="73">
        <v>0</v>
      </c>
    </row>
    <row r="15" spans="1:5" s="8" customFormat="1" ht="18" customHeight="1" x14ac:dyDescent="0.25">
      <c r="A15" s="46"/>
      <c r="B15" s="148" t="s">
        <v>66</v>
      </c>
      <c r="C15" s="148"/>
      <c r="D15" s="149"/>
      <c r="E15" s="75">
        <v>0</v>
      </c>
    </row>
    <row r="16" spans="1:5" s="8" customFormat="1" ht="18" customHeight="1" x14ac:dyDescent="0.25">
      <c r="A16" s="46" t="s">
        <v>7</v>
      </c>
      <c r="B16" s="164" t="s">
        <v>99</v>
      </c>
      <c r="C16" s="164"/>
      <c r="D16" s="165"/>
      <c r="E16" s="227">
        <v>0</v>
      </c>
    </row>
    <row r="17" spans="1:105" ht="18" customHeight="1" thickBot="1" x14ac:dyDescent="0.3">
      <c r="A17" s="47"/>
      <c r="B17" s="166"/>
      <c r="C17" s="166"/>
      <c r="D17" s="167"/>
      <c r="E17" s="228"/>
    </row>
    <row r="18" spans="1:105" ht="36.75" customHeight="1" thickTop="1" thickBot="1" x14ac:dyDescent="0.3">
      <c r="A18" s="168" t="s">
        <v>43</v>
      </c>
      <c r="B18" s="168"/>
      <c r="C18" s="168"/>
      <c r="D18" s="168"/>
      <c r="E18" s="28"/>
    </row>
    <row r="19" spans="1:105" ht="20.100000000000001" customHeight="1" thickTop="1" x14ac:dyDescent="0.25">
      <c r="A19" s="9" t="s">
        <v>8</v>
      </c>
      <c r="B19" s="169" t="s">
        <v>53</v>
      </c>
      <c r="C19" s="169"/>
      <c r="D19" s="170"/>
      <c r="E19" s="13">
        <f xml:space="preserve"> E11+E12+E13</f>
        <v>0</v>
      </c>
    </row>
    <row r="20" spans="1:105" ht="19.5" customHeight="1" x14ac:dyDescent="0.25">
      <c r="A20" s="9" t="s">
        <v>9</v>
      </c>
      <c r="B20" s="171" t="s">
        <v>42</v>
      </c>
      <c r="C20" s="171"/>
      <c r="D20" s="172"/>
      <c r="E20" s="12">
        <f>IF(E19&gt;0,20,0)</f>
        <v>0</v>
      </c>
    </row>
    <row r="21" spans="1:105" ht="21.75" customHeight="1" x14ac:dyDescent="0.25">
      <c r="A21" s="9" t="s">
        <v>10</v>
      </c>
      <c r="B21" s="171" t="s">
        <v>96</v>
      </c>
      <c r="C21" s="171"/>
      <c r="D21" s="172"/>
      <c r="E21" s="16">
        <f>IF(E19&gt;0,IF((E19-(E14+E15+E16+E20))&gt;0,E19-(E14+E15+E16+E20),0),0)</f>
        <v>0</v>
      </c>
    </row>
    <row r="22" spans="1:105" ht="21.75" customHeight="1" x14ac:dyDescent="0.25">
      <c r="A22" s="35"/>
      <c r="B22" s="173" t="s">
        <v>83</v>
      </c>
      <c r="C22" s="175" t="s">
        <v>47</v>
      </c>
      <c r="D22" s="176"/>
      <c r="E22" s="18">
        <f>ROUNDDOWN(IF(E21-D39&gt;0,E21-D39,0),0)</f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42" customHeight="1" thickBot="1" x14ac:dyDescent="0.3">
      <c r="A23" s="34"/>
      <c r="B23" s="174"/>
      <c r="C23" s="177" t="s">
        <v>175</v>
      </c>
      <c r="D23" s="178"/>
      <c r="E23" s="1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38.25" customHeight="1" thickTop="1" thickBot="1" x14ac:dyDescent="0.3">
      <c r="A24" s="161" t="s">
        <v>44</v>
      </c>
      <c r="B24" s="161"/>
      <c r="C24" s="161"/>
      <c r="D24" s="161"/>
      <c r="E24" s="45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ht="21.75" customHeight="1" thickTop="1" x14ac:dyDescent="0.25">
      <c r="A25" s="36" t="s">
        <v>11</v>
      </c>
      <c r="B25" s="162" t="s">
        <v>170</v>
      </c>
      <c r="C25" s="162"/>
      <c r="D25" s="163"/>
      <c r="E25" s="73">
        <v>0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ht="21.75" customHeight="1" x14ac:dyDescent="0.25">
      <c r="A26" s="48"/>
      <c r="B26" s="179" t="s">
        <v>171</v>
      </c>
      <c r="C26" s="179"/>
      <c r="D26" s="232"/>
      <c r="E26" s="73"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24.75" customHeight="1" x14ac:dyDescent="0.25">
      <c r="A27" s="6" t="s">
        <v>12</v>
      </c>
      <c r="B27" s="179" t="s">
        <v>168</v>
      </c>
      <c r="C27" s="179"/>
      <c r="D27" s="179"/>
      <c r="E27" s="73"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25.5" customHeight="1" thickBot="1" x14ac:dyDescent="0.3">
      <c r="A28" s="49"/>
      <c r="B28" s="233" t="s">
        <v>169</v>
      </c>
      <c r="C28" s="233"/>
      <c r="D28" s="233"/>
      <c r="E28" s="74"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29.1" customHeight="1" thickTop="1" thickBot="1" x14ac:dyDescent="0.3">
      <c r="A29" s="168" t="s">
        <v>45</v>
      </c>
      <c r="B29" s="168"/>
      <c r="C29" s="168"/>
      <c r="D29" s="168"/>
      <c r="E29" s="44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8" customHeight="1" thickTop="1" x14ac:dyDescent="0.25">
      <c r="A30" s="9" t="s">
        <v>13</v>
      </c>
      <c r="B30" s="180" t="s">
        <v>54</v>
      </c>
      <c r="C30" s="180"/>
      <c r="D30" s="181"/>
      <c r="E30" s="13">
        <f>IF((E25 +E26+E27+E28)&gt;0,E11+E12+E13,0)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" customHeight="1" x14ac:dyDescent="0.25">
      <c r="A31" s="9" t="s">
        <v>14</v>
      </c>
      <c r="B31" s="171" t="s">
        <v>42</v>
      </c>
      <c r="C31" s="171"/>
      <c r="D31" s="172"/>
      <c r="E31" s="12">
        <f>IF(SUM(E25:E28)&gt;0,20,0)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6.5" customHeight="1" x14ac:dyDescent="0.25">
      <c r="A32" s="9" t="s">
        <v>18</v>
      </c>
      <c r="B32" s="171" t="s">
        <v>69</v>
      </c>
      <c r="C32" s="171"/>
      <c r="D32" s="172"/>
      <c r="E32" s="12">
        <f>IF((E25+E27)=0,0,(IF(E11&gt;50,50,E11)))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105" s="1" customFormat="1" ht="16.5" customHeight="1" x14ac:dyDescent="0.25">
      <c r="A33" s="9"/>
      <c r="B33" s="171" t="s">
        <v>71</v>
      </c>
      <c r="C33" s="171"/>
      <c r="D33" s="172"/>
      <c r="E33" s="13">
        <f>IF((E26+E28)=0,0,(IF(E12&gt;50,50,E12)))</f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</row>
    <row r="34" spans="1:105" s="1" customFormat="1" ht="18" customHeight="1" x14ac:dyDescent="0.25">
      <c r="A34" s="9" t="s">
        <v>19</v>
      </c>
      <c r="B34" s="171" t="s">
        <v>70</v>
      </c>
      <c r="C34" s="171"/>
      <c r="D34" s="172"/>
      <c r="E34" s="12">
        <f>IF(E25+E27=0,E14,(IF(E14&gt;75,E14,IF(E14&gt;0,75,0))))</f>
        <v>0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</row>
    <row r="35" spans="1:105" s="1" customFormat="1" ht="20.25" customHeight="1" x14ac:dyDescent="0.25">
      <c r="A35" s="9"/>
      <c r="B35" s="171" t="s">
        <v>72</v>
      </c>
      <c r="C35" s="171"/>
      <c r="D35" s="172"/>
      <c r="E35" s="12">
        <f>IF(E26+E28=0,E15,(IF(E15&gt;75,E15,IF(E15&gt;0,75,0))))</f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</row>
    <row r="36" spans="1:105" s="1" customFormat="1" ht="20.25" customHeight="1" x14ac:dyDescent="0.25">
      <c r="A36" s="9" t="s">
        <v>20</v>
      </c>
      <c r="B36" s="171" t="s">
        <v>98</v>
      </c>
      <c r="C36" s="171"/>
      <c r="D36" s="172"/>
      <c r="E36" s="12">
        <f>E16</f>
        <v>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</row>
    <row r="37" spans="1:105" ht="18" customHeight="1" x14ac:dyDescent="0.25">
      <c r="A37" s="9" t="s">
        <v>25</v>
      </c>
      <c r="B37" s="171" t="s">
        <v>24</v>
      </c>
      <c r="C37" s="171"/>
      <c r="D37" s="172"/>
      <c r="E37" s="12">
        <f>IF(E25+E26+E27+E28&gt;0,(E25+E26+E27+E28)/2,0)</f>
        <v>0</v>
      </c>
    </row>
    <row r="38" spans="1:105" ht="21.75" customHeight="1" x14ac:dyDescent="0.25">
      <c r="A38" s="21" t="s">
        <v>28</v>
      </c>
      <c r="B38" s="182" t="s">
        <v>46</v>
      </c>
      <c r="C38" s="182"/>
      <c r="D38" s="183"/>
      <c r="E38" s="40">
        <f>IF(E30-SUM(E31:E37)&gt;0,E30-SUM(E31:E37),0)</f>
        <v>0</v>
      </c>
    </row>
    <row r="39" spans="1:105" ht="15.75" customHeight="1" x14ac:dyDescent="0.25">
      <c r="A39" s="24"/>
      <c r="B39" s="53" t="s">
        <v>91</v>
      </c>
      <c r="C39" s="19" t="s">
        <v>22</v>
      </c>
      <c r="D39" s="20">
        <v>1397</v>
      </c>
      <c r="E39" s="23" t="str">
        <f>IF((E25+E26+E27+E28)&gt;0,IF(E38&gt;D39,"Ineligible","Eligible"),"Ineligible ")</f>
        <v xml:space="preserve">Ineligible </v>
      </c>
    </row>
    <row r="40" spans="1:105" ht="15.75" customHeight="1" x14ac:dyDescent="0.25">
      <c r="A40" s="37" t="s">
        <v>29</v>
      </c>
      <c r="B40" s="184" t="s">
        <v>26</v>
      </c>
      <c r="C40" s="184"/>
      <c r="D40" s="185"/>
      <c r="E40" s="22">
        <f>IF(SUM(E25:E28)&gt;0,E27+E28+E30,0)</f>
        <v>0</v>
      </c>
    </row>
    <row r="41" spans="1:105" ht="15.75" customHeight="1" x14ac:dyDescent="0.25">
      <c r="A41" s="25"/>
      <c r="B41" s="234" t="s">
        <v>27</v>
      </c>
      <c r="C41" s="234"/>
      <c r="D41" s="235"/>
      <c r="E41" s="26"/>
    </row>
    <row r="42" spans="1:105" ht="24.75" customHeight="1" x14ac:dyDescent="0.25">
      <c r="A42" s="24"/>
      <c r="B42" s="53" t="s">
        <v>31</v>
      </c>
      <c r="C42" s="19" t="s">
        <v>32</v>
      </c>
      <c r="D42" s="20">
        <v>4930</v>
      </c>
      <c r="E42" s="23" t="str">
        <f>IF(SUM(E25:E28)&gt;0,IF(E40&gt;D42,"Ineligible","Eligible"),"Ineligible ")</f>
        <v xml:space="preserve">Ineligible </v>
      </c>
    </row>
    <row r="43" spans="1:105" ht="21.75" customHeight="1" thickBot="1" x14ac:dyDescent="0.3">
      <c r="A43" s="31"/>
      <c r="B43" s="186" t="s">
        <v>55</v>
      </c>
      <c r="C43" s="186"/>
      <c r="D43" s="187"/>
      <c r="E43" s="27" t="str">
        <f>IF(E39="Eligible", IF(E42="Eligible",(IF(E25+E27&gt;0,"Eligible","Ineligible")),"Ineligible"),"Ineligible")</f>
        <v>Ineligible</v>
      </c>
    </row>
    <row r="44" spans="1:105" ht="22.5" customHeight="1" thickTop="1" thickBot="1" x14ac:dyDescent="0.3">
      <c r="A44" s="31"/>
      <c r="B44" s="186" t="s">
        <v>56</v>
      </c>
      <c r="C44" s="186"/>
      <c r="D44" s="187"/>
      <c r="E44" s="27" t="str">
        <f>IF(E39="Eligible", IF(E42="Eligible",(IF(E26+E28&gt;0,"Eligible","Ineligible")),"Ineligible"),"Ineligible")</f>
        <v>Ineligible</v>
      </c>
    </row>
    <row r="45" spans="1:105" ht="31.5" customHeight="1" thickTop="1" thickBot="1" x14ac:dyDescent="0.3">
      <c r="A45" s="168" t="s">
        <v>33</v>
      </c>
      <c r="B45" s="168"/>
      <c r="C45" s="168"/>
      <c r="D45" s="168"/>
      <c r="E45" s="44"/>
    </row>
    <row r="46" spans="1:105" ht="32.25" customHeight="1" thickTop="1" x14ac:dyDescent="0.25">
      <c r="A46" s="15"/>
      <c r="B46" s="236" t="s">
        <v>105</v>
      </c>
      <c r="C46" s="236"/>
      <c r="D46" s="236"/>
      <c r="E46" s="236"/>
    </row>
    <row r="47" spans="1:105" s="8" customFormat="1" ht="17.25" customHeight="1" x14ac:dyDescent="0.25">
      <c r="A47" s="15"/>
      <c r="B47" s="137" t="s">
        <v>34</v>
      </c>
      <c r="C47" s="81">
        <v>4108.99</v>
      </c>
      <c r="D47" s="84" t="s">
        <v>35</v>
      </c>
      <c r="E47" s="83">
        <v>211</v>
      </c>
    </row>
    <row r="48" spans="1:105" s="8" customFormat="1" ht="17.25" customHeight="1" x14ac:dyDescent="0.25">
      <c r="A48" s="15"/>
      <c r="B48" s="137" t="s">
        <v>34</v>
      </c>
      <c r="C48" s="82">
        <v>3286.99</v>
      </c>
      <c r="D48" s="84" t="s">
        <v>35</v>
      </c>
      <c r="E48" s="83">
        <v>141</v>
      </c>
    </row>
    <row r="49" spans="1:5" ht="17.25" customHeight="1" x14ac:dyDescent="0.25">
      <c r="A49" s="15"/>
      <c r="B49" s="137" t="s">
        <v>34</v>
      </c>
      <c r="C49" s="82">
        <v>2464.9899999999998</v>
      </c>
      <c r="D49" s="84" t="s">
        <v>35</v>
      </c>
      <c r="E49" s="83">
        <v>85</v>
      </c>
    </row>
    <row r="50" spans="1:5" ht="16.5" x14ac:dyDescent="0.25">
      <c r="A50" s="15"/>
      <c r="B50" s="137" t="s">
        <v>34</v>
      </c>
      <c r="C50" s="82">
        <v>1644</v>
      </c>
      <c r="D50" s="84" t="s">
        <v>35</v>
      </c>
      <c r="E50" s="83">
        <v>56</v>
      </c>
    </row>
    <row r="51" spans="1:5" ht="16.5" x14ac:dyDescent="0.25">
      <c r="A51" s="15"/>
      <c r="B51" s="138">
        <f>C50</f>
        <v>1644</v>
      </c>
      <c r="C51" s="139" t="s">
        <v>102</v>
      </c>
      <c r="D51" s="140" t="s">
        <v>35</v>
      </c>
      <c r="E51" s="81">
        <v>0</v>
      </c>
    </row>
    <row r="52" spans="1:5" ht="16.5" x14ac:dyDescent="0.25">
      <c r="A52" s="15"/>
      <c r="B52" s="79" t="s">
        <v>83</v>
      </c>
      <c r="C52" s="80"/>
      <c r="D52" s="80"/>
      <c r="E52" s="50"/>
    </row>
    <row r="53" spans="1:5" ht="27.75" customHeight="1" x14ac:dyDescent="0.25">
      <c r="A53" s="9" t="s">
        <v>30</v>
      </c>
      <c r="B53" s="171" t="s">
        <v>37</v>
      </c>
      <c r="C53" s="171"/>
      <c r="D53" s="172"/>
      <c r="E53" s="14">
        <f>E40</f>
        <v>0</v>
      </c>
    </row>
    <row r="54" spans="1:5" ht="25.5" customHeight="1" x14ac:dyDescent="0.25">
      <c r="A54" s="33"/>
      <c r="B54" s="192" t="s">
        <v>36</v>
      </c>
      <c r="C54" s="192"/>
      <c r="D54" s="193"/>
      <c r="E54" s="32" t="str">
        <f>IF((OR(E43="Eligible",E44="Eligible")),(IF(E40&gt;C47,E47,(IF(E40&gt;C48,E48,(IF(E40&gt;C49,E49,(IF(E40&gt;C50,E50,0)))))))), " ")</f>
        <v xml:space="preserve"> </v>
      </c>
    </row>
    <row r="55" spans="1:5" ht="28.5" customHeight="1" thickBot="1" x14ac:dyDescent="0.3">
      <c r="A55" s="168" t="s">
        <v>48</v>
      </c>
      <c r="B55" s="168"/>
      <c r="C55" s="168"/>
      <c r="D55" s="168"/>
      <c r="E55" s="28"/>
    </row>
    <row r="56" spans="1:5" ht="34.5" customHeight="1" thickTop="1" x14ac:dyDescent="0.25">
      <c r="A56" s="191" t="s">
        <v>148</v>
      </c>
      <c r="B56" s="191"/>
      <c r="C56" s="191"/>
      <c r="D56" s="191"/>
      <c r="E56" s="191"/>
    </row>
    <row r="57" spans="1:5" ht="18" x14ac:dyDescent="0.25">
      <c r="A57" s="10"/>
      <c r="B57" s="194" t="s">
        <v>107</v>
      </c>
      <c r="C57" s="194"/>
      <c r="D57" s="195"/>
      <c r="E57" s="39">
        <f>IF(E27+E28&gt;65,ROUNDDOWN(((E11+E12+E13)-(E14+E15+E16+E31))+((E27+E28-65)/2)-D39,0),E22)</f>
        <v>0</v>
      </c>
    </row>
    <row r="64" spans="1:5" ht="17.25" thickBot="1" x14ac:dyDescent="0.3">
      <c r="A64" s="168" t="s">
        <v>73</v>
      </c>
      <c r="B64" s="168"/>
      <c r="C64" s="168"/>
      <c r="D64" s="168"/>
      <c r="E64" s="168"/>
    </row>
    <row r="65" spans="1:5" ht="21.6" customHeight="1" thickTop="1" x14ac:dyDescent="0.25">
      <c r="A65" s="214" t="s">
        <v>76</v>
      </c>
      <c r="B65" s="214"/>
      <c r="C65" s="214"/>
      <c r="D65" s="214"/>
      <c r="E65" s="214"/>
    </row>
    <row r="66" spans="1:5" s="55" customFormat="1" ht="12" x14ac:dyDescent="0.2">
      <c r="A66" s="199" t="s">
        <v>74</v>
      </c>
      <c r="B66" s="200"/>
      <c r="C66" s="200"/>
      <c r="D66" s="201"/>
      <c r="E66" s="54">
        <f>E19</f>
        <v>0</v>
      </c>
    </row>
    <row r="67" spans="1:5" s="55" customFormat="1" ht="12" x14ac:dyDescent="0.2">
      <c r="A67" s="199" t="s">
        <v>77</v>
      </c>
      <c r="B67" s="200"/>
      <c r="C67" s="200"/>
      <c r="D67" s="201"/>
      <c r="E67" s="54">
        <f>0-(E14+E15+E16)</f>
        <v>0</v>
      </c>
    </row>
    <row r="68" spans="1:5" s="55" customFormat="1" ht="12" x14ac:dyDescent="0.2">
      <c r="A68" s="58"/>
      <c r="B68" s="59" t="s">
        <v>78</v>
      </c>
      <c r="C68" s="60"/>
      <c r="D68" s="61"/>
      <c r="E68" s="54">
        <f>0-E22</f>
        <v>0</v>
      </c>
    </row>
    <row r="69" spans="1:5" x14ac:dyDescent="0.25">
      <c r="A69" s="215" t="s">
        <v>79</v>
      </c>
      <c r="B69" s="216"/>
      <c r="C69" s="216"/>
      <c r="D69" s="217"/>
      <c r="E69" s="14">
        <f>E66+E67+E68</f>
        <v>0</v>
      </c>
    </row>
    <row r="70" spans="1:5" ht="21.6" customHeight="1" x14ac:dyDescent="0.25">
      <c r="A70" s="218" t="s">
        <v>84</v>
      </c>
      <c r="B70" s="218"/>
      <c r="C70" s="218"/>
      <c r="D70" s="218"/>
      <c r="E70" s="218"/>
    </row>
    <row r="71" spans="1:5" s="55" customFormat="1" ht="12" x14ac:dyDescent="0.2">
      <c r="A71" s="199" t="s">
        <v>74</v>
      </c>
      <c r="B71" s="200"/>
      <c r="C71" s="200"/>
      <c r="D71" s="201"/>
      <c r="E71" s="54">
        <f>E19</f>
        <v>0</v>
      </c>
    </row>
    <row r="72" spans="1:5" s="55" customFormat="1" ht="12" x14ac:dyDescent="0.2">
      <c r="A72" s="199" t="s">
        <v>77</v>
      </c>
      <c r="B72" s="200"/>
      <c r="C72" s="200"/>
      <c r="D72" s="201"/>
      <c r="E72" s="54">
        <f>0-(E14+E15+E16)</f>
        <v>0</v>
      </c>
    </row>
    <row r="73" spans="1:5" s="55" customFormat="1" ht="12" x14ac:dyDescent="0.2">
      <c r="A73" s="199" t="s">
        <v>80</v>
      </c>
      <c r="B73" s="200"/>
      <c r="C73" s="200"/>
      <c r="D73" s="201"/>
      <c r="E73" s="54">
        <f>E25+E26+E27+E28</f>
        <v>0</v>
      </c>
    </row>
    <row r="74" spans="1:5" s="55" customFormat="1" ht="12" x14ac:dyDescent="0.2">
      <c r="A74" s="202" t="s">
        <v>75</v>
      </c>
      <c r="B74" s="203"/>
      <c r="C74" s="203"/>
      <c r="D74" s="204"/>
      <c r="E74" s="56">
        <f>IF(E54=" ",0,0-E54)</f>
        <v>0</v>
      </c>
    </row>
    <row r="75" spans="1:5" s="55" customFormat="1" ht="12" x14ac:dyDescent="0.2">
      <c r="A75" s="199" t="s">
        <v>82</v>
      </c>
      <c r="B75" s="200"/>
      <c r="C75" s="200"/>
      <c r="D75" s="201"/>
      <c r="E75" s="56">
        <f>IF(AND(E43="eligible",E44="eligible"),0,(IF(AND(E43="Eligible",E44="eligible"),0,0-E57)))</f>
        <v>0</v>
      </c>
    </row>
    <row r="76" spans="1:5" x14ac:dyDescent="0.25">
      <c r="A76" s="188" t="s">
        <v>81</v>
      </c>
      <c r="B76" s="189"/>
      <c r="C76" s="189"/>
      <c r="D76" s="190"/>
      <c r="E76" s="12">
        <f>E70+E72+E71+E73+E74+E75</f>
        <v>0</v>
      </c>
    </row>
    <row r="77" spans="1:5" ht="29.1" customHeight="1" x14ac:dyDescent="0.25">
      <c r="A77" s="211" t="s">
        <v>86</v>
      </c>
      <c r="B77" s="212"/>
      <c r="C77" s="212"/>
      <c r="D77" s="213"/>
      <c r="E77" s="40">
        <f>E76-E69</f>
        <v>0</v>
      </c>
    </row>
  </sheetData>
  <sheetProtection algorithmName="SHA-512" hashValue="7sYG+4K4XEF8YeZmVmJw8dcOA/K8AD5D+gZF4sdeSdUMfu2L4r6itiTGR90WH36YzuWjp7s4yYYioY4gKPkXRA==" saltValue="GePeJtqu4b8upRnoJ+D+ng==" spinCount="100000" sheet="1" objects="1" scenarios="1" selectLockedCells="1"/>
  <mergeCells count="65">
    <mergeCell ref="A56:E56"/>
    <mergeCell ref="B57:D57"/>
    <mergeCell ref="B44:D44"/>
    <mergeCell ref="A45:D45"/>
    <mergeCell ref="B46:E46"/>
    <mergeCell ref="B53:D53"/>
    <mergeCell ref="B54:D54"/>
    <mergeCell ref="A55:D55"/>
    <mergeCell ref="B43:D43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40:D40"/>
    <mergeCell ref="B41:D41"/>
    <mergeCell ref="A29:D29"/>
    <mergeCell ref="A18:D18"/>
    <mergeCell ref="B19:D19"/>
    <mergeCell ref="B20:D20"/>
    <mergeCell ref="B21:D21"/>
    <mergeCell ref="B22:B23"/>
    <mergeCell ref="C22:D22"/>
    <mergeCell ref="C23:D23"/>
    <mergeCell ref="A24:D24"/>
    <mergeCell ref="B25:D25"/>
    <mergeCell ref="B26:D26"/>
    <mergeCell ref="B27:D27"/>
    <mergeCell ref="B28:D28"/>
    <mergeCell ref="E16:E17"/>
    <mergeCell ref="A7:B7"/>
    <mergeCell ref="C7:E7"/>
    <mergeCell ref="A8:E8"/>
    <mergeCell ref="A9:E9"/>
    <mergeCell ref="A10:D10"/>
    <mergeCell ref="B11:D11"/>
    <mergeCell ref="B12:D12"/>
    <mergeCell ref="B13:D13"/>
    <mergeCell ref="B14:D14"/>
    <mergeCell ref="B15:D15"/>
    <mergeCell ref="B16:D17"/>
    <mergeCell ref="A6:B6"/>
    <mergeCell ref="C6:E6"/>
    <mergeCell ref="A1:E1"/>
    <mergeCell ref="A2:E2"/>
    <mergeCell ref="A3:E3"/>
    <mergeCell ref="A4:E4"/>
    <mergeCell ref="A5:B5"/>
    <mergeCell ref="A74:D74"/>
    <mergeCell ref="A75:D75"/>
    <mergeCell ref="A77:D77"/>
    <mergeCell ref="A64:E64"/>
    <mergeCell ref="A65:E65"/>
    <mergeCell ref="A66:D66"/>
    <mergeCell ref="A67:D67"/>
    <mergeCell ref="A69:D69"/>
    <mergeCell ref="A70:E70"/>
    <mergeCell ref="A71:D71"/>
    <mergeCell ref="A72:D72"/>
    <mergeCell ref="A73:D73"/>
    <mergeCell ref="A76:D76"/>
  </mergeCells>
  <phoneticPr fontId="37" type="noConversion"/>
  <pageMargins left="0.25" right="0.25" top="0.67" bottom="1" header="0.3" footer="0.3"/>
  <pageSetup orientation="portrait" r:id="rId1"/>
  <headerFooter differentFirst="1">
    <oddHeader xml:space="preserve">&amp;L&amp;"-,Italic"&amp;9Spend Down or Ticket to Work Health Assurance Calculation for Couples, both disabled
</oddHeader>
    <oddFooter>&amp;R&amp;"Calibri,Regular"&amp;K000000 Page &amp;P
&amp;8Revised 3/14/23</oddFooter>
    <firstHeader>&amp;C&amp;"-,Bold"&amp;18Spend Down or Ticket to Work Health Assurance</firstHeader>
    <firstFooter xml:space="preserve">&amp;R&amp;8Revised 3/14/23
 </firstFooter>
  </headerFooter>
  <rowBreaks count="1" manualBreakCount="1">
    <brk id="28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showGridLines="0" view="pageLayout" zoomScale="98" zoomScalePageLayoutView="98" workbookViewId="0">
      <selection activeCell="C5" sqref="C5:E5"/>
    </sheetView>
  </sheetViews>
  <sheetFormatPr defaultColWidth="8.7109375" defaultRowHeight="15" x14ac:dyDescent="0.25"/>
  <cols>
    <col min="1" max="1" width="4.28515625" customWidth="1"/>
    <col min="2" max="2" width="22" customWidth="1"/>
    <col min="3" max="3" width="18.140625" customWidth="1"/>
    <col min="4" max="4" width="32.42578125" customWidth="1"/>
    <col min="5" max="5" width="14.7109375" customWidth="1"/>
  </cols>
  <sheetData>
    <row r="1" spans="1:5" ht="18" customHeight="1" thickBot="1" x14ac:dyDescent="0.3">
      <c r="A1" s="237" t="s">
        <v>143</v>
      </c>
      <c r="B1" s="237"/>
      <c r="C1" s="237"/>
      <c r="D1" s="237"/>
      <c r="E1" s="237"/>
    </row>
    <row r="2" spans="1:5" ht="15.75" customHeight="1" thickTop="1" thickBot="1" x14ac:dyDescent="0.3">
      <c r="A2" s="221" t="s">
        <v>147</v>
      </c>
      <c r="B2" s="221"/>
      <c r="C2" s="221"/>
      <c r="D2" s="221"/>
      <c r="E2" s="221"/>
    </row>
    <row r="3" spans="1:5" ht="15" customHeight="1" thickTop="1" x14ac:dyDescent="0.25">
      <c r="A3" s="238" t="s">
        <v>104</v>
      </c>
      <c r="B3" s="239"/>
      <c r="C3" s="239"/>
      <c r="D3" s="239"/>
      <c r="E3" s="239"/>
    </row>
    <row r="4" spans="1:5" ht="18" customHeight="1" x14ac:dyDescent="0.25">
      <c r="A4" s="155" t="s">
        <v>0</v>
      </c>
      <c r="B4" s="155"/>
      <c r="C4" s="38" t="s">
        <v>83</v>
      </c>
      <c r="D4" s="240"/>
      <c r="E4" s="240"/>
    </row>
    <row r="5" spans="1:5" ht="21.6" customHeight="1" x14ac:dyDescent="0.25">
      <c r="A5" s="155" t="s">
        <v>51</v>
      </c>
      <c r="B5" s="155"/>
      <c r="C5" s="219" t="s">
        <v>83</v>
      </c>
      <c r="D5" s="219"/>
      <c r="E5" s="219"/>
    </row>
    <row r="6" spans="1:5" ht="21.6" customHeight="1" x14ac:dyDescent="0.25">
      <c r="A6" s="157" t="s">
        <v>2</v>
      </c>
      <c r="B6" s="157"/>
      <c r="C6" s="229"/>
      <c r="D6" s="229"/>
      <c r="E6" s="229"/>
    </row>
    <row r="7" spans="1:5" ht="15.75" customHeight="1" x14ac:dyDescent="0.25">
      <c r="A7" s="159" t="s">
        <v>38</v>
      </c>
      <c r="B7" s="159"/>
      <c r="C7" s="159"/>
      <c r="D7" s="159"/>
      <c r="E7" s="159"/>
    </row>
    <row r="8" spans="1:5" ht="18.75" customHeight="1" thickBot="1" x14ac:dyDescent="0.3">
      <c r="A8" s="160" t="s">
        <v>3</v>
      </c>
      <c r="B8" s="160"/>
      <c r="C8" s="160"/>
      <c r="D8" s="160"/>
      <c r="E8" s="160"/>
    </row>
    <row r="9" spans="1:5" ht="29.1" customHeight="1" thickTop="1" thickBot="1" x14ac:dyDescent="0.3">
      <c r="A9" s="161" t="s">
        <v>40</v>
      </c>
      <c r="B9" s="161"/>
      <c r="C9" s="161"/>
      <c r="D9" s="161"/>
      <c r="E9" s="45"/>
    </row>
    <row r="10" spans="1:5" ht="15.75" thickTop="1" x14ac:dyDescent="0.25">
      <c r="A10" s="7" t="s">
        <v>4</v>
      </c>
      <c r="B10" s="148" t="s">
        <v>57</v>
      </c>
      <c r="C10" s="148"/>
      <c r="D10" s="149"/>
      <c r="E10" s="70">
        <v>0</v>
      </c>
    </row>
    <row r="11" spans="1:5" x14ac:dyDescent="0.25">
      <c r="A11" s="7" t="s">
        <v>5</v>
      </c>
      <c r="B11" s="148" t="s">
        <v>52</v>
      </c>
      <c r="C11" s="148"/>
      <c r="D11" s="149"/>
      <c r="E11" s="70">
        <v>0</v>
      </c>
    </row>
    <row r="12" spans="1:5" x14ac:dyDescent="0.25">
      <c r="A12" s="7" t="s">
        <v>6</v>
      </c>
      <c r="B12" s="148" t="s">
        <v>58</v>
      </c>
      <c r="C12" s="148"/>
      <c r="D12" s="149"/>
      <c r="E12" s="70">
        <v>0</v>
      </c>
    </row>
    <row r="13" spans="1:5" ht="15" customHeight="1" x14ac:dyDescent="0.25">
      <c r="A13" s="7" t="s">
        <v>7</v>
      </c>
      <c r="B13" s="148" t="s">
        <v>100</v>
      </c>
      <c r="C13" s="148"/>
      <c r="D13" s="149"/>
      <c r="E13" s="70">
        <v>0</v>
      </c>
    </row>
    <row r="14" spans="1:5" x14ac:dyDescent="0.25">
      <c r="A14" s="7" t="s">
        <v>8</v>
      </c>
      <c r="B14" s="241" t="s">
        <v>101</v>
      </c>
      <c r="C14" s="241"/>
      <c r="D14" s="242"/>
      <c r="E14" s="71">
        <v>0</v>
      </c>
    </row>
    <row r="15" spans="1:5" ht="15.75" thickBot="1" x14ac:dyDescent="0.3">
      <c r="A15" s="29"/>
      <c r="B15" s="243"/>
      <c r="C15" s="243"/>
      <c r="D15" s="244"/>
      <c r="E15" s="30" t="s">
        <v>83</v>
      </c>
    </row>
    <row r="16" spans="1:5" ht="18" customHeight="1" thickTop="1" thickBot="1" x14ac:dyDescent="0.3">
      <c r="A16" s="168" t="s">
        <v>43</v>
      </c>
      <c r="B16" s="168"/>
      <c r="C16" s="168"/>
      <c r="D16" s="168"/>
      <c r="E16" s="51"/>
    </row>
    <row r="17" spans="1:5" ht="15.75" thickTop="1" x14ac:dyDescent="0.25">
      <c r="A17" s="9" t="s">
        <v>9</v>
      </c>
      <c r="B17" s="169" t="s">
        <v>39</v>
      </c>
      <c r="C17" s="169"/>
      <c r="D17" s="170"/>
      <c r="E17" s="13">
        <f xml:space="preserve"> E10+E11</f>
        <v>0</v>
      </c>
    </row>
    <row r="18" spans="1:5" x14ac:dyDescent="0.25">
      <c r="A18" s="9" t="s">
        <v>10</v>
      </c>
      <c r="B18" s="245" t="s">
        <v>94</v>
      </c>
      <c r="C18" s="245"/>
      <c r="D18" s="246"/>
      <c r="E18" s="67">
        <f>IF(E19-E20&gt;0,E19-E20,0)</f>
        <v>0</v>
      </c>
    </row>
    <row r="19" spans="1:5" x14ac:dyDescent="0.25">
      <c r="A19" s="247" t="s">
        <v>93</v>
      </c>
      <c r="B19" s="248"/>
      <c r="C19" s="248"/>
      <c r="D19" s="249"/>
      <c r="E19" s="68">
        <f>E12</f>
        <v>0</v>
      </c>
    </row>
    <row r="20" spans="1:5" x14ac:dyDescent="0.25">
      <c r="A20" s="247" t="s">
        <v>92</v>
      </c>
      <c r="B20" s="248"/>
      <c r="C20" s="248"/>
      <c r="D20" s="249"/>
      <c r="E20" s="69">
        <f>(IF((E12-65)&gt;0,ROUND((E12-65)/2,2),0))+65</f>
        <v>65</v>
      </c>
    </row>
    <row r="21" spans="1:5" ht="15" customHeight="1" x14ac:dyDescent="0.25">
      <c r="A21" s="9" t="s">
        <v>11</v>
      </c>
      <c r="B21" s="171" t="s">
        <v>42</v>
      </c>
      <c r="C21" s="171"/>
      <c r="D21" s="172"/>
      <c r="E21" s="12">
        <f>IF(E17+E18&gt;0,20,0)</f>
        <v>0</v>
      </c>
    </row>
    <row r="22" spans="1:5" ht="15.75" x14ac:dyDescent="0.25">
      <c r="A22" s="9" t="s">
        <v>12</v>
      </c>
      <c r="B22" s="171" t="s">
        <v>90</v>
      </c>
      <c r="C22" s="171"/>
      <c r="D22" s="172"/>
      <c r="E22" s="52">
        <f>IF(E17+E18&gt;0,IF(((E17+E18)-(E13+E14+E21))&gt;0,(E17+E18)-(E13+E14+E21),0),0)</f>
        <v>0</v>
      </c>
    </row>
    <row r="23" spans="1:5" ht="15.75" customHeight="1" x14ac:dyDescent="0.25">
      <c r="A23" s="35"/>
      <c r="B23" s="173" t="s">
        <v>83</v>
      </c>
      <c r="C23" s="175" t="s">
        <v>47</v>
      </c>
      <c r="D23" s="176"/>
      <c r="E23" s="18">
        <f>ROUNDDOWN(IF(E22-D37&gt;0,E22-D37,0),0)</f>
        <v>0</v>
      </c>
    </row>
    <row r="24" spans="1:5" ht="26.1" customHeight="1" thickBot="1" x14ac:dyDescent="0.3">
      <c r="A24" s="34"/>
      <c r="B24" s="174"/>
      <c r="C24" s="250" t="s">
        <v>176</v>
      </c>
      <c r="D24" s="251"/>
      <c r="E24" s="17"/>
    </row>
    <row r="25" spans="1:5" ht="21" customHeight="1" thickTop="1" thickBot="1" x14ac:dyDescent="0.3">
      <c r="A25" s="161" t="s">
        <v>44</v>
      </c>
      <c r="B25" s="161"/>
      <c r="C25" s="161"/>
      <c r="D25" s="161"/>
      <c r="E25" s="45"/>
    </row>
    <row r="26" spans="1:5" ht="15.75" customHeight="1" thickTop="1" x14ac:dyDescent="0.25">
      <c r="A26" s="36" t="s">
        <v>13</v>
      </c>
      <c r="B26" s="162" t="s">
        <v>172</v>
      </c>
      <c r="C26" s="162"/>
      <c r="D26" s="163"/>
      <c r="E26" s="70">
        <v>0</v>
      </c>
    </row>
    <row r="27" spans="1:5" ht="15.75" thickBot="1" x14ac:dyDescent="0.3">
      <c r="A27" s="6" t="s">
        <v>14</v>
      </c>
      <c r="B27" s="179" t="s">
        <v>173</v>
      </c>
      <c r="C27" s="179"/>
      <c r="D27" s="179"/>
      <c r="E27" s="70">
        <v>0</v>
      </c>
    </row>
    <row r="28" spans="1:5" ht="29.1" customHeight="1" thickTop="1" thickBot="1" x14ac:dyDescent="0.3">
      <c r="A28" s="161" t="s">
        <v>45</v>
      </c>
      <c r="B28" s="161"/>
      <c r="C28" s="161"/>
      <c r="D28" s="161"/>
      <c r="E28" s="11"/>
    </row>
    <row r="29" spans="1:5" ht="15.75" customHeight="1" thickTop="1" x14ac:dyDescent="0.25">
      <c r="A29" s="9" t="s">
        <v>18</v>
      </c>
      <c r="B29" s="180" t="s">
        <v>41</v>
      </c>
      <c r="C29" s="180"/>
      <c r="D29" s="181"/>
      <c r="E29" s="13">
        <f>IF(E26+E27&gt;0,E10+E11,0)</f>
        <v>0</v>
      </c>
    </row>
    <row r="30" spans="1:5" x14ac:dyDescent="0.25">
      <c r="A30" s="9" t="s">
        <v>19</v>
      </c>
      <c r="B30" s="252" t="s">
        <v>59</v>
      </c>
      <c r="C30" s="252"/>
      <c r="D30" s="253"/>
      <c r="E30" s="13">
        <f>IF(E26+E27&gt;0,E18,0)</f>
        <v>0</v>
      </c>
    </row>
    <row r="31" spans="1:5" x14ac:dyDescent="0.25">
      <c r="A31" s="9" t="s">
        <v>20</v>
      </c>
      <c r="B31" s="171" t="s">
        <v>42</v>
      </c>
      <c r="C31" s="171"/>
      <c r="D31" s="172"/>
      <c r="E31" s="12">
        <f>IF(E26+E27&gt;0,20,0)</f>
        <v>0</v>
      </c>
    </row>
    <row r="32" spans="1:5" x14ac:dyDescent="0.25">
      <c r="A32" s="9" t="s">
        <v>25</v>
      </c>
      <c r="B32" s="171" t="s">
        <v>17</v>
      </c>
      <c r="C32" s="171"/>
      <c r="D32" s="172"/>
      <c r="E32" s="13">
        <f>IF(E26+E27&gt;0,(IF(E10&gt;50,50,E10)),0)</f>
        <v>0</v>
      </c>
    </row>
    <row r="33" spans="1:5" x14ac:dyDescent="0.25">
      <c r="A33" s="9" t="s">
        <v>28</v>
      </c>
      <c r="B33" s="171" t="s">
        <v>23</v>
      </c>
      <c r="C33" s="171"/>
      <c r="D33" s="172"/>
      <c r="E33" s="12">
        <f>IF(E26+E27&gt;0,IF(E13&gt;75,E13,IF(E13&gt;0,75,0)),E13)</f>
        <v>0</v>
      </c>
    </row>
    <row r="34" spans="1:5" x14ac:dyDescent="0.25">
      <c r="A34" s="9" t="s">
        <v>29</v>
      </c>
      <c r="B34" s="171" t="s">
        <v>98</v>
      </c>
      <c r="C34" s="171"/>
      <c r="D34" s="172"/>
      <c r="E34" s="12">
        <f>E14</f>
        <v>0</v>
      </c>
    </row>
    <row r="35" spans="1:5" ht="15" customHeight="1" x14ac:dyDescent="0.25">
      <c r="A35" s="9" t="s">
        <v>30</v>
      </c>
      <c r="B35" s="171" t="s">
        <v>24</v>
      </c>
      <c r="C35" s="171"/>
      <c r="D35" s="172"/>
      <c r="E35" s="12">
        <f>IF(E26+E27&gt;0,(E26+E27)/2,0)</f>
        <v>0</v>
      </c>
    </row>
    <row r="36" spans="1:5" ht="15.75" customHeight="1" x14ac:dyDescent="0.25">
      <c r="A36" s="21" t="s">
        <v>60</v>
      </c>
      <c r="B36" s="182" t="s">
        <v>61</v>
      </c>
      <c r="C36" s="182"/>
      <c r="D36" s="183"/>
      <c r="E36" s="40">
        <f>IF(AND(E26+E27&gt;0,(E29+E30)-SUM(E31:E35)&gt;0),(E29+E30)-SUM(E31:E35),0)</f>
        <v>0</v>
      </c>
    </row>
    <row r="37" spans="1:5" ht="15" customHeight="1" x14ac:dyDescent="0.25">
      <c r="A37" s="24"/>
      <c r="B37" s="53" t="s">
        <v>91</v>
      </c>
      <c r="C37" s="19" t="s">
        <v>22</v>
      </c>
      <c r="D37" s="20">
        <v>1397</v>
      </c>
      <c r="E37" s="76" t="str">
        <f>IF((E26+E27)&gt;0,IF(E36&gt;D37,"Ineligible","Eligible"),"Ineligible ")</f>
        <v xml:space="preserve">Ineligible </v>
      </c>
    </row>
    <row r="38" spans="1:5" ht="15.75" x14ac:dyDescent="0.25">
      <c r="A38" s="37" t="s">
        <v>62</v>
      </c>
      <c r="B38" s="184" t="s">
        <v>63</v>
      </c>
      <c r="C38" s="184"/>
      <c r="D38" s="185"/>
      <c r="E38" s="22">
        <f>IF((E26+E27)&gt;0,E27+E29+E12,0)</f>
        <v>0</v>
      </c>
    </row>
    <row r="39" spans="1:5" x14ac:dyDescent="0.25">
      <c r="A39" s="24"/>
      <c r="B39" s="53" t="s">
        <v>31</v>
      </c>
      <c r="C39" s="19" t="s">
        <v>32</v>
      </c>
      <c r="D39" s="20">
        <v>4930</v>
      </c>
      <c r="E39" s="23" t="str">
        <f>IF((E26+E27)&gt;0,IF(E38&gt;D39,"Ineligible","Eligible"),"Ineligible ")</f>
        <v xml:space="preserve">Ineligible </v>
      </c>
    </row>
    <row r="40" spans="1:5" ht="21.6" customHeight="1" thickBot="1" x14ac:dyDescent="0.3">
      <c r="A40" s="31"/>
      <c r="B40" s="186" t="s">
        <v>21</v>
      </c>
      <c r="C40" s="186"/>
      <c r="D40" s="187"/>
      <c r="E40" s="62" t="str">
        <f>IF(E37="Eligible",IF(E39="Eligible","Eligible","Ineligible"),"Ineligible")</f>
        <v>Ineligible</v>
      </c>
    </row>
    <row r="41" spans="1:5" ht="32.85" customHeight="1" thickTop="1" thickBot="1" x14ac:dyDescent="0.3">
      <c r="A41" s="168" t="s">
        <v>33</v>
      </c>
      <c r="B41" s="168"/>
      <c r="C41" s="168"/>
      <c r="D41" s="168"/>
      <c r="E41" s="44"/>
    </row>
    <row r="42" spans="1:5" ht="33.6" customHeight="1" thickTop="1" x14ac:dyDescent="0.25">
      <c r="A42" s="15"/>
      <c r="B42" s="191" t="s">
        <v>106</v>
      </c>
      <c r="C42" s="191"/>
      <c r="D42" s="191"/>
      <c r="E42" s="191"/>
    </row>
    <row r="43" spans="1:5" ht="16.5" x14ac:dyDescent="0.25">
      <c r="A43" s="15"/>
      <c r="B43" s="141" t="s">
        <v>34</v>
      </c>
      <c r="C43" s="81">
        <v>4108.99</v>
      </c>
      <c r="D43" s="142" t="s">
        <v>35</v>
      </c>
      <c r="E43" s="83">
        <v>211</v>
      </c>
    </row>
    <row r="44" spans="1:5" ht="16.5" x14ac:dyDescent="0.25">
      <c r="A44" s="15"/>
      <c r="B44" s="141" t="s">
        <v>34</v>
      </c>
      <c r="C44" s="82">
        <v>3286.99</v>
      </c>
      <c r="D44" s="142" t="s">
        <v>35</v>
      </c>
      <c r="E44" s="83">
        <v>141</v>
      </c>
    </row>
    <row r="45" spans="1:5" ht="16.5" x14ac:dyDescent="0.25">
      <c r="A45" s="15"/>
      <c r="B45" s="141" t="s">
        <v>34</v>
      </c>
      <c r="C45" s="82">
        <v>2464.9899999999998</v>
      </c>
      <c r="D45" s="142" t="s">
        <v>35</v>
      </c>
      <c r="E45" s="83">
        <v>85</v>
      </c>
    </row>
    <row r="46" spans="1:5" ht="16.5" x14ac:dyDescent="0.25">
      <c r="A46" s="15"/>
      <c r="B46" s="141" t="s">
        <v>34</v>
      </c>
      <c r="C46" s="82">
        <v>1644</v>
      </c>
      <c r="D46" s="142" t="s">
        <v>35</v>
      </c>
      <c r="E46" s="83">
        <v>56</v>
      </c>
    </row>
    <row r="47" spans="1:5" ht="27.6" customHeight="1" x14ac:dyDescent="0.25">
      <c r="A47" s="15"/>
      <c r="B47" s="144">
        <f>C46</f>
        <v>1644</v>
      </c>
      <c r="C47" s="145" t="s">
        <v>102</v>
      </c>
      <c r="D47" s="142" t="s">
        <v>35</v>
      </c>
      <c r="E47" s="83">
        <v>0</v>
      </c>
    </row>
    <row r="48" spans="1:5" x14ac:dyDescent="0.25">
      <c r="A48" s="63" t="s">
        <v>89</v>
      </c>
      <c r="B48" s="254" t="s">
        <v>64</v>
      </c>
      <c r="C48" s="254"/>
      <c r="D48" s="255"/>
      <c r="E48" s="14">
        <f>E38</f>
        <v>0</v>
      </c>
    </row>
    <row r="49" spans="1:5" ht="18" x14ac:dyDescent="0.25">
      <c r="A49" s="64"/>
      <c r="B49" s="256" t="s">
        <v>36</v>
      </c>
      <c r="C49" s="256"/>
      <c r="D49" s="257"/>
      <c r="E49" s="32" t="str">
        <f>IF(E40="Eligible",(IF(E38&gt;C43,E43,(IF(E38&gt;C44,E44,(IF(E38&gt;C45,E45,(IF(E38&gt;C46,E46,0)))))))), " ")</f>
        <v xml:space="preserve"> </v>
      </c>
    </row>
    <row r="50" spans="1:5" ht="32.85" customHeight="1" thickBot="1" x14ac:dyDescent="0.3">
      <c r="A50" s="258" t="s">
        <v>48</v>
      </c>
      <c r="B50" s="258"/>
      <c r="C50" s="258"/>
      <c r="D50" s="258"/>
      <c r="E50" s="65">
        <v>3</v>
      </c>
    </row>
    <row r="51" spans="1:5" ht="32.85" customHeight="1" thickTop="1" x14ac:dyDescent="0.25">
      <c r="A51" s="191" t="s">
        <v>149</v>
      </c>
      <c r="B51" s="191"/>
      <c r="C51" s="191"/>
      <c r="D51" s="191"/>
      <c r="E51" s="191"/>
    </row>
    <row r="52" spans="1:5" ht="18" x14ac:dyDescent="0.25">
      <c r="A52" s="66"/>
      <c r="B52" s="194" t="s">
        <v>107</v>
      </c>
      <c r="C52" s="194"/>
      <c r="D52" s="195"/>
      <c r="E52" s="39">
        <f>IF(E27+E12&gt;65,ROUNDDOWN(((E10+E11)-(E13+E14+E31))+((E27+E12-65)/2)-D37,0),E23)</f>
        <v>0</v>
      </c>
    </row>
    <row r="53" spans="1:5" ht="37.5" customHeight="1" thickBot="1" x14ac:dyDescent="0.3">
      <c r="A53" s="168" t="s">
        <v>73</v>
      </c>
      <c r="B53" s="168"/>
      <c r="C53" s="168"/>
      <c r="D53" s="168"/>
      <c r="E53" s="168"/>
    </row>
    <row r="54" spans="1:5" ht="21.6" customHeight="1" thickTop="1" x14ac:dyDescent="0.25">
      <c r="A54" s="214" t="s">
        <v>76</v>
      </c>
      <c r="B54" s="259"/>
      <c r="C54" s="259"/>
      <c r="D54" s="259"/>
      <c r="E54" s="259"/>
    </row>
    <row r="55" spans="1:5" x14ac:dyDescent="0.25">
      <c r="A55" s="199" t="s">
        <v>85</v>
      </c>
      <c r="B55" s="200"/>
      <c r="C55" s="200"/>
      <c r="D55" s="201"/>
      <c r="E55" s="54">
        <f>E10+E11</f>
        <v>0</v>
      </c>
    </row>
    <row r="56" spans="1:5" x14ac:dyDescent="0.25">
      <c r="A56" s="199" t="s">
        <v>88</v>
      </c>
      <c r="B56" s="200"/>
      <c r="C56" s="200"/>
      <c r="D56" s="201"/>
      <c r="E56" s="54">
        <f>E12</f>
        <v>0</v>
      </c>
    </row>
    <row r="57" spans="1:5" x14ac:dyDescent="0.25">
      <c r="A57" s="199" t="s">
        <v>77</v>
      </c>
      <c r="B57" s="200"/>
      <c r="C57" s="200"/>
      <c r="D57" s="201"/>
      <c r="E57" s="54">
        <f>0-(E13+E14)</f>
        <v>0</v>
      </c>
    </row>
    <row r="58" spans="1:5" x14ac:dyDescent="0.25">
      <c r="A58" s="202" t="s">
        <v>78</v>
      </c>
      <c r="B58" s="203"/>
      <c r="C58" s="203"/>
      <c r="D58" s="204"/>
      <c r="E58" s="54">
        <f>0-E23</f>
        <v>0</v>
      </c>
    </row>
    <row r="59" spans="1:5" x14ac:dyDescent="0.25">
      <c r="A59" s="188" t="s">
        <v>79</v>
      </c>
      <c r="B59" s="189"/>
      <c r="C59" s="189"/>
      <c r="D59" s="190"/>
      <c r="E59" s="12">
        <f>E55+E56+E57+E58</f>
        <v>0</v>
      </c>
    </row>
    <row r="60" spans="1:5" ht="21.6" customHeight="1" x14ac:dyDescent="0.25">
      <c r="A60" s="218" t="s">
        <v>87</v>
      </c>
      <c r="B60" s="218"/>
      <c r="C60" s="218"/>
      <c r="D60" s="218"/>
      <c r="E60" s="218"/>
    </row>
    <row r="61" spans="1:5" x14ac:dyDescent="0.25">
      <c r="A61" s="199" t="s">
        <v>85</v>
      </c>
      <c r="B61" s="200"/>
      <c r="C61" s="200"/>
      <c r="D61" s="201"/>
      <c r="E61" s="54">
        <f>E10+E11</f>
        <v>0</v>
      </c>
    </row>
    <row r="62" spans="1:5" x14ac:dyDescent="0.25">
      <c r="A62" s="199" t="s">
        <v>80</v>
      </c>
      <c r="B62" s="200"/>
      <c r="C62" s="200"/>
      <c r="D62" s="201"/>
      <c r="E62" s="54">
        <f>E26+E27</f>
        <v>0</v>
      </c>
    </row>
    <row r="63" spans="1:5" x14ac:dyDescent="0.25">
      <c r="A63" s="199" t="s">
        <v>88</v>
      </c>
      <c r="B63" s="200"/>
      <c r="C63" s="200"/>
      <c r="D63" s="201"/>
      <c r="E63" s="54">
        <f>E12</f>
        <v>0</v>
      </c>
    </row>
    <row r="64" spans="1:5" x14ac:dyDescent="0.25">
      <c r="A64" s="199" t="s">
        <v>77</v>
      </c>
      <c r="B64" s="200"/>
      <c r="C64" s="200"/>
      <c r="D64" s="201"/>
      <c r="E64" s="54">
        <f>0-(E13+E14)</f>
        <v>0</v>
      </c>
    </row>
    <row r="65" spans="1:5" x14ac:dyDescent="0.25">
      <c r="A65" s="202" t="s">
        <v>75</v>
      </c>
      <c r="B65" s="203"/>
      <c r="C65" s="203"/>
      <c r="D65" s="204"/>
      <c r="E65" s="56">
        <f>IF(E40="Eligible",0-E49, 0)</f>
        <v>0</v>
      </c>
    </row>
    <row r="66" spans="1:5" x14ac:dyDescent="0.25">
      <c r="A66" s="199" t="s">
        <v>82</v>
      </c>
      <c r="B66" s="200"/>
      <c r="C66" s="200"/>
      <c r="D66" s="201"/>
      <c r="E66" s="56">
        <f>IF(E40="Eligible",0,0-E52)</f>
        <v>0</v>
      </c>
    </row>
    <row r="67" spans="1:5" x14ac:dyDescent="0.25">
      <c r="A67" s="188" t="s">
        <v>81</v>
      </c>
      <c r="B67" s="189"/>
      <c r="C67" s="189"/>
      <c r="D67" s="190"/>
      <c r="E67" s="12">
        <f>E61+E63+E62+E64+E65+E66</f>
        <v>0</v>
      </c>
    </row>
    <row r="68" spans="1:5" ht="29.1" customHeight="1" x14ac:dyDescent="0.25">
      <c r="A68" s="260" t="s">
        <v>86</v>
      </c>
      <c r="B68" s="261"/>
      <c r="C68" s="261"/>
      <c r="D68" s="262"/>
      <c r="E68" s="40">
        <f>E67-E59</f>
        <v>0</v>
      </c>
    </row>
  </sheetData>
  <sheetProtection algorithmName="SHA-512" hashValue="OaTE27ALKgjXM8hhLDeixtMHLpImAS2aSH5e2dfNadIxwVm6Iw5YcpupQiklmRznfIa17YnnR+K2JMkOxNcSEQ==" saltValue="VQLjOAx2csf5J3qzIkms8Q==" spinCount="100000" sheet="1" objects="1" scenarios="1" selectLockedCells="1"/>
  <mergeCells count="64">
    <mergeCell ref="A64:D64"/>
    <mergeCell ref="A65:D65"/>
    <mergeCell ref="A66:D66"/>
    <mergeCell ref="A67:D67"/>
    <mergeCell ref="A68:D68"/>
    <mergeCell ref="A63:D63"/>
    <mergeCell ref="B52:D52"/>
    <mergeCell ref="A53:E53"/>
    <mergeCell ref="A54:E54"/>
    <mergeCell ref="A55:D55"/>
    <mergeCell ref="A56:D56"/>
    <mergeCell ref="A57:D57"/>
    <mergeCell ref="A58:D58"/>
    <mergeCell ref="A59:D59"/>
    <mergeCell ref="A60:E60"/>
    <mergeCell ref="A61:D61"/>
    <mergeCell ref="A62:D62"/>
    <mergeCell ref="A51:E51"/>
    <mergeCell ref="B33:D33"/>
    <mergeCell ref="B34:D34"/>
    <mergeCell ref="B35:D35"/>
    <mergeCell ref="B36:D36"/>
    <mergeCell ref="B38:D38"/>
    <mergeCell ref="B40:D40"/>
    <mergeCell ref="A41:D41"/>
    <mergeCell ref="B42:E42"/>
    <mergeCell ref="B48:D48"/>
    <mergeCell ref="B49:D49"/>
    <mergeCell ref="A50:D50"/>
    <mergeCell ref="B32:D32"/>
    <mergeCell ref="B22:D22"/>
    <mergeCell ref="B23:B24"/>
    <mergeCell ref="C23:D23"/>
    <mergeCell ref="C24:D24"/>
    <mergeCell ref="A25:D25"/>
    <mergeCell ref="B26:D26"/>
    <mergeCell ref="B27:D27"/>
    <mergeCell ref="A28:D28"/>
    <mergeCell ref="B29:D29"/>
    <mergeCell ref="B30:D30"/>
    <mergeCell ref="B31:D31"/>
    <mergeCell ref="B21:D21"/>
    <mergeCell ref="A9:D9"/>
    <mergeCell ref="B10:D10"/>
    <mergeCell ref="B11:D11"/>
    <mergeCell ref="B12:D12"/>
    <mergeCell ref="B13:D13"/>
    <mergeCell ref="B14:D15"/>
    <mergeCell ref="A16:D16"/>
    <mergeCell ref="B17:D17"/>
    <mergeCell ref="B18:D18"/>
    <mergeCell ref="A19:D19"/>
    <mergeCell ref="A20:D20"/>
    <mergeCell ref="A8:E8"/>
    <mergeCell ref="A1:E1"/>
    <mergeCell ref="A2:E2"/>
    <mergeCell ref="A3:E3"/>
    <mergeCell ref="A4:B4"/>
    <mergeCell ref="D4:E4"/>
    <mergeCell ref="A5:B5"/>
    <mergeCell ref="C5:E5"/>
    <mergeCell ref="A6:B6"/>
    <mergeCell ref="C6:E6"/>
    <mergeCell ref="A7:E7"/>
  </mergeCells>
  <phoneticPr fontId="37" type="noConversion"/>
  <pageMargins left="0.25" right="0.25" top="0.75" bottom="0.75" header="0.3" footer="0.3"/>
  <pageSetup orientation="portrait" horizontalDpi="300" verticalDpi="300" r:id="rId1"/>
  <headerFooter differentFirst="1">
    <oddHeader xml:space="preserve">&amp;L&amp;"-,Italic"&amp;9Spend Down or Ticket to Work Health Assurance Calculation for Couples, only one disabled
</oddHeader>
    <oddFooter>&amp;C&amp;"Calibri,Regular"&amp;K000000
&amp;R&amp;"Calibri,Regular"&amp;8&amp;K000000 Page &amp;P
Revised 3/14/23</oddFooter>
    <firstHeader>&amp;C&amp;"-,Bold"&amp;18Spend Down or Ticket to Work Health Assurance</firstHeader>
    <firstFooter>&amp;R&amp;8Revised 3/14/23</first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showGridLines="0" showRowColHeaders="0" view="pageLayout" workbookViewId="0">
      <selection activeCell="E12" sqref="E12"/>
    </sheetView>
  </sheetViews>
  <sheetFormatPr defaultColWidth="8.7109375" defaultRowHeight="15" x14ac:dyDescent="0.25"/>
  <cols>
    <col min="1" max="1" width="4.42578125" customWidth="1"/>
    <col min="2" max="2" width="26.140625" customWidth="1"/>
    <col min="3" max="3" width="18.140625" customWidth="1"/>
    <col min="4" max="4" width="32.42578125" customWidth="1"/>
    <col min="5" max="5" width="14.7109375" customWidth="1"/>
  </cols>
  <sheetData>
    <row r="1" spans="1:5" ht="24" thickBot="1" x14ac:dyDescent="0.3">
      <c r="A1" s="273" t="s">
        <v>142</v>
      </c>
      <c r="B1" s="273"/>
      <c r="C1" s="273"/>
      <c r="D1" s="273"/>
      <c r="E1" s="273"/>
    </row>
    <row r="2" spans="1:5" ht="21.6" customHeight="1" thickTop="1" x14ac:dyDescent="0.25">
      <c r="A2" s="155" t="s">
        <v>0</v>
      </c>
      <c r="B2" s="155"/>
      <c r="C2" s="38" t="s">
        <v>83</v>
      </c>
      <c r="D2" s="240"/>
      <c r="E2" s="240"/>
    </row>
    <row r="3" spans="1:5" ht="21.6" customHeight="1" x14ac:dyDescent="0.25">
      <c r="A3" s="155" t="s">
        <v>108</v>
      </c>
      <c r="B3" s="155"/>
      <c r="C3" s="219"/>
      <c r="D3" s="219"/>
      <c r="E3" s="219"/>
    </row>
    <row r="4" spans="1:5" ht="18.75" customHeight="1" x14ac:dyDescent="0.25">
      <c r="A4" s="159" t="s">
        <v>38</v>
      </c>
      <c r="B4" s="159"/>
      <c r="C4" s="159"/>
      <c r="D4" s="159"/>
      <c r="E4" s="159"/>
    </row>
    <row r="5" spans="1:5" ht="18.75" customHeight="1" thickBot="1" x14ac:dyDescent="0.3">
      <c r="A5" s="160" t="s">
        <v>3</v>
      </c>
      <c r="B5" s="160"/>
      <c r="C5" s="160"/>
      <c r="D5" s="160"/>
      <c r="E5" s="160"/>
    </row>
    <row r="6" spans="1:5" ht="32.85" customHeight="1" thickTop="1" thickBot="1" x14ac:dyDescent="0.3">
      <c r="A6" s="161" t="s">
        <v>158</v>
      </c>
      <c r="B6" s="161"/>
      <c r="C6" s="161"/>
      <c r="D6" s="161"/>
      <c r="E6" s="88"/>
    </row>
    <row r="7" spans="1:5" ht="15" customHeight="1" thickTop="1" x14ac:dyDescent="0.25">
      <c r="A7" s="89" t="s">
        <v>4</v>
      </c>
      <c r="B7" s="90" t="s">
        <v>109</v>
      </c>
      <c r="C7" s="91"/>
      <c r="D7" s="91"/>
      <c r="E7" s="92">
        <v>0</v>
      </c>
    </row>
    <row r="8" spans="1:5" ht="15" customHeight="1" x14ac:dyDescent="0.25">
      <c r="A8" s="93" t="s">
        <v>110</v>
      </c>
      <c r="B8" s="94" t="s">
        <v>111</v>
      </c>
      <c r="C8" s="95"/>
      <c r="D8" s="95"/>
      <c r="E8" s="92">
        <v>0</v>
      </c>
    </row>
    <row r="9" spans="1:5" ht="15" customHeight="1" x14ac:dyDescent="0.25">
      <c r="A9" s="96" t="s">
        <v>112</v>
      </c>
      <c r="B9" s="94" t="s">
        <v>113</v>
      </c>
      <c r="C9" s="95"/>
      <c r="D9" s="95"/>
      <c r="E9" s="92">
        <v>0</v>
      </c>
    </row>
    <row r="10" spans="1:5" ht="15" customHeight="1" x14ac:dyDescent="0.25">
      <c r="A10" s="97" t="s">
        <v>6</v>
      </c>
      <c r="B10" s="265" t="s">
        <v>161</v>
      </c>
      <c r="C10" s="265"/>
      <c r="D10" s="266"/>
      <c r="E10" s="98">
        <v>0</v>
      </c>
    </row>
    <row r="11" spans="1:5" ht="15" customHeight="1" x14ac:dyDescent="0.25">
      <c r="A11" s="7" t="s">
        <v>7</v>
      </c>
      <c r="B11" s="148" t="s">
        <v>162</v>
      </c>
      <c r="C11" s="148"/>
      <c r="D11" s="149"/>
      <c r="E11" s="99">
        <v>0</v>
      </c>
    </row>
    <row r="12" spans="1:5" ht="15" customHeight="1" x14ac:dyDescent="0.25">
      <c r="A12" s="7" t="s">
        <v>8</v>
      </c>
      <c r="B12" s="87" t="s">
        <v>163</v>
      </c>
      <c r="C12" s="85"/>
      <c r="D12" s="86"/>
      <c r="E12" s="99">
        <v>0</v>
      </c>
    </row>
    <row r="13" spans="1:5" x14ac:dyDescent="0.25">
      <c r="A13" s="7" t="s">
        <v>114</v>
      </c>
      <c r="B13" s="87" t="s">
        <v>164</v>
      </c>
      <c r="C13" s="146"/>
      <c r="D13" s="100">
        <f>IF(E8-E9&gt;0,1,(IF(E8-E9=2,1,(IF(E8-E9=3,1,(IF(E8-E9=4,1,0)))))))</f>
        <v>0</v>
      </c>
      <c r="E13" s="99">
        <v>0</v>
      </c>
    </row>
    <row r="14" spans="1:5" x14ac:dyDescent="0.25">
      <c r="A14" s="7" t="s">
        <v>115</v>
      </c>
      <c r="B14" s="87" t="s">
        <v>164</v>
      </c>
      <c r="C14" s="146"/>
      <c r="D14" s="101">
        <f>IF(E8-E9&gt;1,2,(IF(E8-E9=3,2,(IF(E8-E9=4,2,0)))))</f>
        <v>0</v>
      </c>
      <c r="E14" s="99">
        <v>0</v>
      </c>
    </row>
    <row r="15" spans="1:5" x14ac:dyDescent="0.25">
      <c r="A15" s="7" t="s">
        <v>116</v>
      </c>
      <c r="B15" s="87" t="s">
        <v>164</v>
      </c>
      <c r="C15" s="146"/>
      <c r="D15" s="101">
        <f>IF(E8-E9&gt;2,3,(IF(E8-E9=4,3,0)))</f>
        <v>0</v>
      </c>
      <c r="E15" s="99">
        <v>0</v>
      </c>
    </row>
    <row r="16" spans="1:5" x14ac:dyDescent="0.25">
      <c r="A16" s="7" t="s">
        <v>117</v>
      </c>
      <c r="B16" s="87" t="s">
        <v>164</v>
      </c>
      <c r="C16" s="146"/>
      <c r="D16" s="102">
        <f>(IF(E8-E9&gt;3,4,0))</f>
        <v>0</v>
      </c>
      <c r="E16" s="99">
        <v>0</v>
      </c>
    </row>
    <row r="17" spans="1:5" x14ac:dyDescent="0.25">
      <c r="A17" s="7" t="s">
        <v>117</v>
      </c>
      <c r="B17" s="87" t="s">
        <v>164</v>
      </c>
      <c r="C17" s="146"/>
      <c r="D17" s="102">
        <f>(IF(E8-E9&gt;4,5,0))</f>
        <v>0</v>
      </c>
      <c r="E17" s="99">
        <v>0</v>
      </c>
    </row>
    <row r="18" spans="1:5" x14ac:dyDescent="0.25">
      <c r="A18" s="6" t="s">
        <v>10</v>
      </c>
      <c r="B18" s="148" t="s">
        <v>181</v>
      </c>
      <c r="C18" s="265"/>
      <c r="D18" s="149"/>
      <c r="E18" s="99">
        <v>0</v>
      </c>
    </row>
    <row r="19" spans="1:5" ht="32.85" customHeight="1" thickBot="1" x14ac:dyDescent="0.3">
      <c r="A19" s="168" t="s">
        <v>118</v>
      </c>
      <c r="B19" s="168"/>
      <c r="C19" s="168"/>
      <c r="D19" s="168"/>
      <c r="E19" s="51" t="s">
        <v>83</v>
      </c>
    </row>
    <row r="20" spans="1:5" ht="15.75" thickTop="1" x14ac:dyDescent="0.25">
      <c r="A20" s="103" t="s">
        <v>11</v>
      </c>
      <c r="B20" s="267" t="s">
        <v>119</v>
      </c>
      <c r="C20" s="267"/>
      <c r="D20" s="268"/>
      <c r="E20" s="13">
        <f xml:space="preserve"> D21+D22+D23+D24+D25</f>
        <v>0</v>
      </c>
    </row>
    <row r="21" spans="1:5" x14ac:dyDescent="0.25">
      <c r="A21" s="104"/>
      <c r="B21" s="105"/>
      <c r="C21" s="106" t="s">
        <v>120</v>
      </c>
      <c r="D21" s="107">
        <f>IF(D13=1,(IF(420-E13&gt;0,457-E13,0)),0)</f>
        <v>0</v>
      </c>
      <c r="E21" s="108"/>
    </row>
    <row r="22" spans="1:5" x14ac:dyDescent="0.25">
      <c r="A22" s="104"/>
      <c r="B22" s="105"/>
      <c r="C22" s="106" t="s">
        <v>121</v>
      </c>
      <c r="D22" s="107">
        <f>IF(D14=2,(IF(420-E14&gt;0,457-E14,0)),0)</f>
        <v>0</v>
      </c>
      <c r="E22" s="108"/>
    </row>
    <row r="23" spans="1:5" x14ac:dyDescent="0.25">
      <c r="A23" s="104"/>
      <c r="B23" s="105"/>
      <c r="C23" s="106" t="s">
        <v>122</v>
      </c>
      <c r="D23" s="107">
        <f>IF(D15=3,(IF(420-E15&gt;0,457-E15,0)),0)</f>
        <v>0</v>
      </c>
      <c r="E23" s="109"/>
    </row>
    <row r="24" spans="1:5" x14ac:dyDescent="0.25">
      <c r="A24" s="104"/>
      <c r="B24" s="105"/>
      <c r="C24" s="106" t="s">
        <v>123</v>
      </c>
      <c r="D24" s="107">
        <f>IF(D16=4,(IF(420-E16&gt;0,457-E16,0)),0)</f>
        <v>0</v>
      </c>
      <c r="E24" s="108"/>
    </row>
    <row r="25" spans="1:5" x14ac:dyDescent="0.25">
      <c r="A25" s="104"/>
      <c r="B25" s="110"/>
      <c r="C25" s="106" t="s">
        <v>180</v>
      </c>
      <c r="D25" s="107">
        <f>IF(D17=5,(IF(420-E17&gt;0,457-E17,0)),0)</f>
        <v>0</v>
      </c>
      <c r="E25" s="108"/>
    </row>
    <row r="26" spans="1:5" x14ac:dyDescent="0.25">
      <c r="A26" s="6" t="s">
        <v>12</v>
      </c>
      <c r="B26" s="171" t="s">
        <v>42</v>
      </c>
      <c r="C26" s="171"/>
      <c r="D26" s="172"/>
      <c r="E26" s="111">
        <v>20</v>
      </c>
    </row>
    <row r="27" spans="1:5" ht="15.75" x14ac:dyDescent="0.25">
      <c r="A27" s="112" t="s">
        <v>13</v>
      </c>
      <c r="B27" s="113" t="s">
        <v>124</v>
      </c>
      <c r="C27" s="114"/>
      <c r="D27" s="115"/>
      <c r="E27" s="116">
        <f>IF(E10-E20-E26&lt;0,0,E10-E20-E26)</f>
        <v>0</v>
      </c>
    </row>
    <row r="28" spans="1:5" ht="15.75" x14ac:dyDescent="0.25">
      <c r="A28" s="112" t="s">
        <v>14</v>
      </c>
      <c r="B28" s="269" t="s">
        <v>125</v>
      </c>
      <c r="C28" s="269"/>
      <c r="D28" s="270"/>
      <c r="E28" s="116">
        <f>IF(E10-E20&gt;0,0,-E10+E20)</f>
        <v>0</v>
      </c>
    </row>
    <row r="29" spans="1:5" ht="15.75" x14ac:dyDescent="0.25">
      <c r="A29" s="112" t="s">
        <v>18</v>
      </c>
      <c r="B29" s="117" t="s">
        <v>126</v>
      </c>
      <c r="C29" s="114"/>
      <c r="D29" s="115"/>
      <c r="E29" s="118">
        <f>IF(E10-E20-E26&gt;0,0,-E10+E20+E26-E28)</f>
        <v>20</v>
      </c>
    </row>
    <row r="30" spans="1:5" x14ac:dyDescent="0.25">
      <c r="A30" s="112" t="s">
        <v>19</v>
      </c>
      <c r="B30" s="113" t="s">
        <v>127</v>
      </c>
      <c r="C30" s="119"/>
      <c r="D30" s="120"/>
      <c r="E30" s="121">
        <f>(IF((E11-E28-E29-65)&gt;0,ROUND((E11-E28-E29-65)/2,2),0))+65</f>
        <v>65</v>
      </c>
    </row>
    <row r="31" spans="1:5" ht="15.75" x14ac:dyDescent="0.25">
      <c r="A31" s="122" t="s">
        <v>20</v>
      </c>
      <c r="B31" s="123" t="s">
        <v>128</v>
      </c>
      <c r="C31" s="124"/>
      <c r="D31" s="125"/>
      <c r="E31" s="116">
        <f>IF(E11-E28-E29-E30&gt;0,E11-E28-E29-E30,0)</f>
        <v>0</v>
      </c>
    </row>
    <row r="32" spans="1:5" ht="15.75" x14ac:dyDescent="0.25">
      <c r="A32" s="6" t="s">
        <v>25</v>
      </c>
      <c r="B32" s="126" t="s">
        <v>129</v>
      </c>
      <c r="C32" s="127"/>
      <c r="D32" s="128"/>
      <c r="E32" s="118">
        <f>E31+E27</f>
        <v>0</v>
      </c>
    </row>
    <row r="33" spans="1:5" ht="15.75" x14ac:dyDescent="0.25">
      <c r="A33" s="6" t="s">
        <v>28</v>
      </c>
      <c r="B33" s="171" t="s">
        <v>130</v>
      </c>
      <c r="C33" s="171"/>
      <c r="D33" s="172"/>
      <c r="E33" s="129">
        <f>IF(E7=1,914,(IF(E7=2,1371,0)))</f>
        <v>0</v>
      </c>
    </row>
    <row r="34" spans="1:5" ht="16.5" thickBot="1" x14ac:dyDescent="0.3">
      <c r="A34" s="6" t="s">
        <v>29</v>
      </c>
      <c r="B34" s="130" t="s">
        <v>83</v>
      </c>
      <c r="C34" s="271" t="s">
        <v>131</v>
      </c>
      <c r="D34" s="272"/>
      <c r="E34" s="131">
        <f>IF(E32-E33&gt;0,E32-E33,0)</f>
        <v>0</v>
      </c>
    </row>
    <row r="35" spans="1:5" ht="32.85" customHeight="1" thickTop="1" thickBot="1" x14ac:dyDescent="0.3">
      <c r="A35" s="161" t="s">
        <v>159</v>
      </c>
      <c r="B35" s="161"/>
      <c r="C35" s="161"/>
      <c r="D35" s="161"/>
      <c r="E35" s="45"/>
    </row>
    <row r="36" spans="1:5" ht="15" customHeight="1" thickTop="1" x14ac:dyDescent="0.25">
      <c r="A36" s="6" t="s">
        <v>30</v>
      </c>
      <c r="B36" s="263" t="s">
        <v>132</v>
      </c>
      <c r="C36" s="263"/>
      <c r="D36" s="264"/>
      <c r="E36" s="147">
        <v>0</v>
      </c>
    </row>
    <row r="37" spans="1:5" ht="15.75" x14ac:dyDescent="0.25">
      <c r="A37" s="6" t="s">
        <v>60</v>
      </c>
      <c r="B37" s="171" t="s">
        <v>133</v>
      </c>
      <c r="C37" s="171"/>
      <c r="D37" s="172"/>
      <c r="E37" s="132" t="e">
        <f>E34/(E9)</f>
        <v>#DIV/0!</v>
      </c>
    </row>
    <row r="38" spans="1:5" ht="15.75" x14ac:dyDescent="0.25">
      <c r="A38" s="6" t="s">
        <v>62</v>
      </c>
      <c r="B38" s="171" t="s">
        <v>42</v>
      </c>
      <c r="C38" s="171"/>
      <c r="D38" s="172"/>
      <c r="E38" s="132">
        <v>20</v>
      </c>
    </row>
    <row r="39" spans="1:5" ht="15.75" x14ac:dyDescent="0.25">
      <c r="A39" s="6" t="s">
        <v>89</v>
      </c>
      <c r="B39" s="171" t="s">
        <v>134</v>
      </c>
      <c r="C39" s="171"/>
      <c r="D39" s="172"/>
      <c r="E39" s="133">
        <f>E18</f>
        <v>0</v>
      </c>
    </row>
    <row r="40" spans="1:5" ht="15.75" x14ac:dyDescent="0.25">
      <c r="A40" s="6" t="s">
        <v>135</v>
      </c>
      <c r="B40" s="171" t="s">
        <v>136</v>
      </c>
      <c r="C40" s="171"/>
      <c r="D40" s="172"/>
      <c r="E40" s="132" t="e">
        <f>IF(E36+E37-E38-E39&gt;0,E36+E37-E38-E39,0)</f>
        <v>#DIV/0!</v>
      </c>
    </row>
    <row r="41" spans="1:5" ht="15.75" x14ac:dyDescent="0.25">
      <c r="A41" s="6" t="s">
        <v>137</v>
      </c>
      <c r="B41" s="182" t="s">
        <v>138</v>
      </c>
      <c r="C41" s="182"/>
      <c r="D41" s="183"/>
      <c r="E41" s="134">
        <v>1033</v>
      </c>
    </row>
    <row r="42" spans="1:5" ht="15.75" x14ac:dyDescent="0.25">
      <c r="A42" s="135" t="s">
        <v>139</v>
      </c>
      <c r="B42" s="182" t="s">
        <v>160</v>
      </c>
      <c r="C42" s="182"/>
      <c r="D42" s="183"/>
      <c r="E42" s="136" t="e">
        <f>ROUNDDOWN(IF(E40-E41&gt;0,E40-E41,0),0)</f>
        <v>#DIV/0!</v>
      </c>
    </row>
  </sheetData>
  <sheetProtection algorithmName="SHA-512" hashValue="mnkzgb9EpNnuLKAlVpdy9yE3oCmGu4jhsImzK/gt+ifw4acxBtlVB4Omd6laroZXuZyKpGkWiN+0LQEB3PokBg==" saltValue="e7eRl0NX4FAi9c6Fj1ViYg==" spinCount="100000" sheet="1" selectLockedCells="1"/>
  <mergeCells count="25">
    <mergeCell ref="A4:E4"/>
    <mergeCell ref="A1:E1"/>
    <mergeCell ref="A2:B2"/>
    <mergeCell ref="D2:E2"/>
    <mergeCell ref="A3:B3"/>
    <mergeCell ref="C3:E3"/>
    <mergeCell ref="A35:D35"/>
    <mergeCell ref="A5:E5"/>
    <mergeCell ref="A6:D6"/>
    <mergeCell ref="B10:D10"/>
    <mergeCell ref="B11:D11"/>
    <mergeCell ref="B18:D18"/>
    <mergeCell ref="A19:D19"/>
    <mergeCell ref="B20:D20"/>
    <mergeCell ref="B26:D26"/>
    <mergeCell ref="B28:D28"/>
    <mergeCell ref="B33:D33"/>
    <mergeCell ref="C34:D34"/>
    <mergeCell ref="B42:D42"/>
    <mergeCell ref="B36:D36"/>
    <mergeCell ref="B37:D37"/>
    <mergeCell ref="B38:D38"/>
    <mergeCell ref="B39:D39"/>
    <mergeCell ref="B40:D40"/>
    <mergeCell ref="B41:D41"/>
  </mergeCells>
  <phoneticPr fontId="37" type="noConversion"/>
  <pageMargins left="0.25" right="0.25" top="0.75" bottom="0.75" header="0.3" footer="0.3"/>
  <pageSetup scale="97" orientation="portrait" r:id="rId1"/>
  <headerFooter differentFirst="1">
    <oddFooter>&amp;C&amp;"Calibri,Regular"&amp;K000000_x000D_&amp;R&amp;"Calibri,Regular"&amp;8&amp;K000000Revised 4/12/21</oddFooter>
    <firstFooter>&amp;R&amp;8Revised 3/24/23</first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62"/>
  <sheetViews>
    <sheetView showGridLines="0" view="pageLayout" zoomScaleNormal="110" zoomScaleSheetLayoutView="90" workbookViewId="0">
      <selection activeCell="C4" sqref="C4"/>
    </sheetView>
  </sheetViews>
  <sheetFormatPr defaultColWidth="8.7109375" defaultRowHeight="15" x14ac:dyDescent="0.25"/>
  <cols>
    <col min="1" max="1" width="4.42578125" customWidth="1"/>
    <col min="2" max="2" width="21.42578125" customWidth="1"/>
    <col min="3" max="3" width="16.7109375" customWidth="1"/>
    <col min="4" max="4" width="26" customWidth="1"/>
    <col min="5" max="5" width="15.7109375" customWidth="1"/>
  </cols>
  <sheetData>
    <row r="1" spans="1:5" ht="21.75" customHeight="1" thickBot="1" x14ac:dyDescent="0.3">
      <c r="A1" s="150" t="s">
        <v>152</v>
      </c>
      <c r="B1" s="150"/>
      <c r="C1" s="150"/>
      <c r="D1" s="150"/>
      <c r="E1" s="150"/>
    </row>
    <row r="2" spans="1:5" ht="21.75" customHeight="1" thickTop="1" thickBot="1" x14ac:dyDescent="0.3">
      <c r="A2" s="151" t="s">
        <v>151</v>
      </c>
      <c r="B2" s="152"/>
      <c r="C2" s="152"/>
      <c r="D2" s="152"/>
      <c r="E2" s="152"/>
    </row>
    <row r="3" spans="1:5" ht="16.5" customHeight="1" thickTop="1" x14ac:dyDescent="0.25">
      <c r="A3" s="153" t="s">
        <v>104</v>
      </c>
      <c r="B3" s="154"/>
      <c r="C3" s="154"/>
      <c r="D3" s="154"/>
      <c r="E3" s="154"/>
    </row>
    <row r="4" spans="1:5" ht="15.75" customHeight="1" x14ac:dyDescent="0.25">
      <c r="A4" s="155" t="s">
        <v>0</v>
      </c>
      <c r="B4" s="155"/>
      <c r="C4" s="38" t="s">
        <v>83</v>
      </c>
      <c r="D4" s="4"/>
      <c r="E4" s="3"/>
    </row>
    <row r="5" spans="1:5" ht="21.75" customHeight="1" x14ac:dyDescent="0.25">
      <c r="A5" s="155" t="s">
        <v>1</v>
      </c>
      <c r="B5" s="155"/>
      <c r="C5" s="156" t="s">
        <v>83</v>
      </c>
      <c r="D5" s="156"/>
      <c r="E5" s="3"/>
    </row>
    <row r="6" spans="1:5" s="2" customFormat="1" ht="24" customHeight="1" x14ac:dyDescent="0.25">
      <c r="A6" s="157" t="s">
        <v>2</v>
      </c>
      <c r="B6" s="157"/>
      <c r="C6" s="158"/>
      <c r="D6" s="158"/>
      <c r="E6" s="5"/>
    </row>
    <row r="7" spans="1:5" s="2" customFormat="1" ht="20.25" customHeight="1" x14ac:dyDescent="0.25">
      <c r="A7" s="159" t="s">
        <v>38</v>
      </c>
      <c r="B7" s="159"/>
      <c r="C7" s="159"/>
      <c r="D7" s="159"/>
      <c r="E7" s="159"/>
    </row>
    <row r="8" spans="1:5" ht="23.25" customHeight="1" thickBot="1" x14ac:dyDescent="0.3">
      <c r="A8" s="160" t="s">
        <v>3</v>
      </c>
      <c r="B8" s="160"/>
      <c r="C8" s="160"/>
      <c r="D8" s="160"/>
      <c r="E8" s="160"/>
    </row>
    <row r="9" spans="1:5" ht="32.25" customHeight="1" thickTop="1" thickBot="1" x14ac:dyDescent="0.3">
      <c r="A9" s="161" t="s">
        <v>40</v>
      </c>
      <c r="B9" s="161"/>
      <c r="C9" s="161"/>
      <c r="D9" s="161"/>
      <c r="E9" s="45"/>
    </row>
    <row r="10" spans="1:5" s="8" customFormat="1" ht="18" customHeight="1" thickTop="1" x14ac:dyDescent="0.25">
      <c r="A10" s="7" t="s">
        <v>4</v>
      </c>
      <c r="B10" s="148" t="s">
        <v>150</v>
      </c>
      <c r="C10" s="148"/>
      <c r="D10" s="149"/>
      <c r="E10" s="70">
        <v>0</v>
      </c>
    </row>
    <row r="11" spans="1:5" s="8" customFormat="1" ht="18" customHeight="1" x14ac:dyDescent="0.25">
      <c r="A11" s="7" t="s">
        <v>5</v>
      </c>
      <c r="B11" s="148" t="s">
        <v>179</v>
      </c>
      <c r="C11" s="148"/>
      <c r="D11" s="149"/>
      <c r="E11" s="70">
        <v>0</v>
      </c>
    </row>
    <row r="12" spans="1:5" s="8" customFormat="1" ht="18" customHeight="1" x14ac:dyDescent="0.25">
      <c r="A12" s="7" t="s">
        <v>6</v>
      </c>
      <c r="B12" s="148" t="s">
        <v>16</v>
      </c>
      <c r="C12" s="148"/>
      <c r="D12" s="149"/>
      <c r="E12" s="70">
        <v>0</v>
      </c>
    </row>
    <row r="13" spans="1:5" s="8" customFormat="1" ht="18" customHeight="1" x14ac:dyDescent="0.25">
      <c r="A13" s="7" t="s">
        <v>7</v>
      </c>
      <c r="B13" s="164" t="s">
        <v>97</v>
      </c>
      <c r="C13" s="164"/>
      <c r="D13" s="165"/>
      <c r="E13" s="71">
        <v>0</v>
      </c>
    </row>
    <row r="14" spans="1:5" s="8" customFormat="1" ht="18" customHeight="1" thickBot="1" x14ac:dyDescent="0.3">
      <c r="A14" s="29"/>
      <c r="B14" s="166"/>
      <c r="C14" s="166"/>
      <c r="D14" s="167"/>
      <c r="E14" s="72"/>
    </row>
    <row r="15" spans="1:5" s="8" customFormat="1" ht="32.25" customHeight="1" thickTop="1" thickBot="1" x14ac:dyDescent="0.3">
      <c r="A15" s="168" t="s">
        <v>43</v>
      </c>
      <c r="B15" s="168"/>
      <c r="C15" s="168"/>
      <c r="D15" s="168"/>
      <c r="E15" s="28"/>
    </row>
    <row r="16" spans="1:5" ht="15" customHeight="1" thickTop="1" x14ac:dyDescent="0.25">
      <c r="A16" s="9" t="s">
        <v>8</v>
      </c>
      <c r="B16" s="169" t="s">
        <v>39</v>
      </c>
      <c r="C16" s="169"/>
      <c r="D16" s="170"/>
      <c r="E16" s="13">
        <f xml:space="preserve"> E10+E11</f>
        <v>0</v>
      </c>
    </row>
    <row r="17" spans="1:105" ht="15" customHeight="1" x14ac:dyDescent="0.25">
      <c r="A17" s="9" t="s">
        <v>9</v>
      </c>
      <c r="B17" s="171" t="s">
        <v>42</v>
      </c>
      <c r="C17" s="171"/>
      <c r="D17" s="172"/>
      <c r="E17" s="12">
        <f>IF(E16&gt;0,20,0)</f>
        <v>0</v>
      </c>
    </row>
    <row r="18" spans="1:105" ht="15" customHeight="1" x14ac:dyDescent="0.25">
      <c r="A18" s="9" t="s">
        <v>10</v>
      </c>
      <c r="B18" s="171" t="s">
        <v>95</v>
      </c>
      <c r="C18" s="171"/>
      <c r="D18" s="172"/>
      <c r="E18" s="16">
        <f>IF(E16&gt;0,IF((E16-(E12+E13+E17))&gt;0,E16-(E12+E13+E17),0),0)</f>
        <v>0</v>
      </c>
    </row>
    <row r="19" spans="1:105" ht="15.75" customHeight="1" x14ac:dyDescent="0.25">
      <c r="A19" s="35"/>
      <c r="B19" s="173" t="s">
        <v>83</v>
      </c>
      <c r="C19" s="175" t="s">
        <v>47</v>
      </c>
      <c r="D19" s="176"/>
      <c r="E19" s="18">
        <f>ROUNDDOWN(IF(E18-C42&gt;0,E18-C42,0),0)</f>
        <v>0</v>
      </c>
    </row>
    <row r="20" spans="1:105" ht="24.6" customHeight="1" thickBot="1" x14ac:dyDescent="0.3">
      <c r="A20" s="34"/>
      <c r="B20" s="174"/>
      <c r="C20" s="177" t="s">
        <v>177</v>
      </c>
      <c r="D20" s="178"/>
      <c r="E20" s="17"/>
    </row>
    <row r="21" spans="1:105" ht="32.25" customHeight="1" thickTop="1" thickBot="1" x14ac:dyDescent="0.3">
      <c r="A21" s="161" t="s">
        <v>44</v>
      </c>
      <c r="B21" s="161"/>
      <c r="C21" s="161"/>
      <c r="D21" s="161"/>
      <c r="E21" s="45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</row>
    <row r="22" spans="1:105" ht="18" customHeight="1" thickTop="1" x14ac:dyDescent="0.25">
      <c r="A22" s="36" t="s">
        <v>11</v>
      </c>
      <c r="B22" s="162" t="s">
        <v>166</v>
      </c>
      <c r="C22" s="162"/>
      <c r="D22" s="163"/>
      <c r="E22" s="70"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8" customHeight="1" thickBot="1" x14ac:dyDescent="0.3">
      <c r="A23" s="6" t="s">
        <v>12</v>
      </c>
      <c r="B23" s="179" t="s">
        <v>165</v>
      </c>
      <c r="C23" s="179"/>
      <c r="D23" s="179"/>
      <c r="E23" s="70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s="1" customFormat="1" ht="32.25" customHeight="1" thickTop="1" thickBot="1" x14ac:dyDescent="0.3">
      <c r="A24" s="161" t="s">
        <v>45</v>
      </c>
      <c r="B24" s="161"/>
      <c r="C24" s="161"/>
      <c r="D24" s="161"/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s="1" customFormat="1" ht="15.75" customHeight="1" thickTop="1" x14ac:dyDescent="0.25">
      <c r="A25" s="9" t="s">
        <v>13</v>
      </c>
      <c r="B25" s="180" t="s">
        <v>41</v>
      </c>
      <c r="C25" s="180"/>
      <c r="D25" s="181"/>
      <c r="E25" s="13">
        <f>IF((E22+E23)&gt;0,E10+E11,0)</f>
        <v>0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s="1" customFormat="1" ht="15.75" customHeight="1" x14ac:dyDescent="0.25">
      <c r="A26" s="9" t="s">
        <v>14</v>
      </c>
      <c r="B26" s="171" t="s">
        <v>42</v>
      </c>
      <c r="C26" s="171"/>
      <c r="D26" s="172"/>
      <c r="E26" s="12">
        <f>IF((E22+E23)&gt;0,20,0)</f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15.75" customHeight="1" x14ac:dyDescent="0.25">
      <c r="A27" s="9" t="s">
        <v>18</v>
      </c>
      <c r="B27" s="171" t="s">
        <v>17</v>
      </c>
      <c r="C27" s="171"/>
      <c r="D27" s="172"/>
      <c r="E27" s="13">
        <f>IF(E22+E23=0,0,(IF(E10&gt;50,50,E10)))</f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15.75" customHeight="1" x14ac:dyDescent="0.25">
      <c r="A28" s="9" t="s">
        <v>19</v>
      </c>
      <c r="B28" s="171" t="s">
        <v>23</v>
      </c>
      <c r="C28" s="171"/>
      <c r="D28" s="172"/>
      <c r="E28" s="12">
        <f>IF(E12&gt;75,E12,IF(E12&gt;0,75,0))</f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15.75" customHeight="1" x14ac:dyDescent="0.25">
      <c r="A29" s="9" t="s">
        <v>20</v>
      </c>
      <c r="B29" s="171" t="s">
        <v>98</v>
      </c>
      <c r="C29" s="171"/>
      <c r="D29" s="172"/>
      <c r="E29" s="12">
        <f>E13</f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5.75" customHeight="1" x14ac:dyDescent="0.25">
      <c r="A30" s="9" t="s">
        <v>25</v>
      </c>
      <c r="B30" s="171" t="s">
        <v>24</v>
      </c>
      <c r="C30" s="171"/>
      <c r="D30" s="172"/>
      <c r="E30" s="12">
        <f>IF(E22+E23&gt;0,(E22+E23)/2,0)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.75" customHeight="1" x14ac:dyDescent="0.25">
      <c r="A31" s="21" t="s">
        <v>28</v>
      </c>
      <c r="B31" s="182" t="s">
        <v>46</v>
      </c>
      <c r="C31" s="182"/>
      <c r="D31" s="183"/>
      <c r="E31" s="40">
        <f>IF((E10+E11)-(E26+E27+E28+E29+E30)&gt;0,(E10+E11)-(E26+E27+E28+E29+E30),0)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ht="15.75" customHeight="1" x14ac:dyDescent="0.25">
      <c r="A32" s="24"/>
      <c r="B32" s="53" t="s">
        <v>91</v>
      </c>
      <c r="C32" s="19" t="s">
        <v>22</v>
      </c>
      <c r="D32" s="20">
        <v>1033</v>
      </c>
      <c r="E32" s="76" t="str">
        <f>IF((E22+E23)&gt;0,IF(E31&gt;D32,"Ineligible","Eligible")," Ineligible")</f>
        <v xml:space="preserve"> Ineligible</v>
      </c>
    </row>
    <row r="33" spans="1:5" ht="18" customHeight="1" x14ac:dyDescent="0.25">
      <c r="A33" s="37" t="s">
        <v>29</v>
      </c>
      <c r="B33" s="184" t="s">
        <v>26</v>
      </c>
      <c r="C33" s="184"/>
      <c r="D33" s="185"/>
      <c r="E33" s="22">
        <f>IF((E22+E23)&gt;0,E23+E10+E11,0)</f>
        <v>0</v>
      </c>
    </row>
    <row r="34" spans="1:5" ht="15.75" customHeight="1" x14ac:dyDescent="0.25">
      <c r="A34" s="25"/>
      <c r="B34" s="234" t="s">
        <v>27</v>
      </c>
      <c r="C34" s="234"/>
      <c r="D34" s="235"/>
      <c r="E34" s="26"/>
    </row>
    <row r="35" spans="1:5" ht="15.75" customHeight="1" x14ac:dyDescent="0.25">
      <c r="A35" s="24"/>
      <c r="B35" s="53" t="s">
        <v>145</v>
      </c>
      <c r="C35" s="19" t="s">
        <v>32</v>
      </c>
      <c r="D35" s="20">
        <v>3645</v>
      </c>
      <c r="E35" s="23" t="str">
        <f>IF((E22+E23)&gt;0,IF(E33&gt;D35,"Ineligible","Eligible"),"Ineligible ")</f>
        <v xml:space="preserve">Ineligible </v>
      </c>
    </row>
    <row r="36" spans="1:5" ht="15.75" customHeight="1" thickBot="1" x14ac:dyDescent="0.3">
      <c r="A36" s="31"/>
      <c r="B36" s="186" t="s">
        <v>21</v>
      </c>
      <c r="C36" s="186"/>
      <c r="D36" s="187"/>
      <c r="E36" s="27" t="str">
        <f>IF(E32="Eligible",IF(E35="Eligible","Eligible","Ineligible"),"Ineligible")</f>
        <v>Ineligible</v>
      </c>
    </row>
    <row r="37" spans="1:5" ht="43.35" customHeight="1" thickTop="1" thickBot="1" x14ac:dyDescent="0.3">
      <c r="A37" s="168" t="s">
        <v>33</v>
      </c>
      <c r="B37" s="168"/>
      <c r="C37" s="168"/>
      <c r="D37" s="168"/>
      <c r="E37" s="44"/>
    </row>
    <row r="38" spans="1:5" ht="30.75" customHeight="1" thickTop="1" x14ac:dyDescent="0.25">
      <c r="A38" s="15"/>
      <c r="B38" s="191" t="s">
        <v>106</v>
      </c>
      <c r="C38" s="191"/>
      <c r="D38" s="191"/>
      <c r="E38" s="191"/>
    </row>
    <row r="39" spans="1:5" ht="24.6" customHeight="1" x14ac:dyDescent="0.25">
      <c r="A39" s="15"/>
      <c r="B39" s="41" t="s">
        <v>34</v>
      </c>
      <c r="C39" s="81">
        <v>3037.99</v>
      </c>
      <c r="D39" s="84" t="s">
        <v>35</v>
      </c>
      <c r="E39" s="81">
        <v>156</v>
      </c>
    </row>
    <row r="40" spans="1:5" ht="24.6" customHeight="1" x14ac:dyDescent="0.25">
      <c r="A40" s="15"/>
      <c r="B40" s="41" t="s">
        <v>34</v>
      </c>
      <c r="C40" s="82">
        <v>2429.9899999999998</v>
      </c>
      <c r="D40" s="84" t="s">
        <v>35</v>
      </c>
      <c r="E40" s="81">
        <v>104</v>
      </c>
    </row>
    <row r="41" spans="1:5" s="8" customFormat="1" ht="24.6" customHeight="1" x14ac:dyDescent="0.25">
      <c r="A41" s="15"/>
      <c r="B41" s="41" t="s">
        <v>34</v>
      </c>
      <c r="C41" s="82">
        <v>1822.99</v>
      </c>
      <c r="D41" s="84" t="s">
        <v>35</v>
      </c>
      <c r="E41" s="81">
        <v>62</v>
      </c>
    </row>
    <row r="42" spans="1:5" s="8" customFormat="1" ht="24.6" customHeight="1" x14ac:dyDescent="0.25">
      <c r="A42" s="15"/>
      <c r="B42" s="41" t="s">
        <v>34</v>
      </c>
      <c r="C42" s="82">
        <v>1215</v>
      </c>
      <c r="D42" s="84" t="s">
        <v>35</v>
      </c>
      <c r="E42" s="81">
        <v>42</v>
      </c>
    </row>
    <row r="43" spans="1:5" ht="24" customHeight="1" x14ac:dyDescent="0.25">
      <c r="A43" s="15"/>
      <c r="B43" s="77">
        <f>C42</f>
        <v>1215</v>
      </c>
      <c r="C43" s="78" t="s">
        <v>102</v>
      </c>
      <c r="D43" s="43" t="s">
        <v>35</v>
      </c>
      <c r="E43" s="42">
        <v>0</v>
      </c>
    </row>
    <row r="44" spans="1:5" ht="18" customHeight="1" x14ac:dyDescent="0.25">
      <c r="A44" s="9" t="s">
        <v>30</v>
      </c>
      <c r="B44" s="171" t="s">
        <v>37</v>
      </c>
      <c r="C44" s="171"/>
      <c r="D44" s="172"/>
      <c r="E44" s="14">
        <f>E33</f>
        <v>0</v>
      </c>
    </row>
    <row r="45" spans="1:5" ht="18" x14ac:dyDescent="0.25">
      <c r="A45" s="33"/>
      <c r="B45" s="192" t="s">
        <v>36</v>
      </c>
      <c r="C45" s="192"/>
      <c r="D45" s="193"/>
      <c r="E45" s="32" t="str">
        <f>IF(E36="Eligible",(IF(E33&gt;C39,E39,(IF(E33&gt;C40,E40,(IF(E33&gt;C41,E41,(IF(E33&gt;C42,E42,0)))))))), " ")</f>
        <v xml:space="preserve"> </v>
      </c>
    </row>
    <row r="46" spans="1:5" ht="43.35" customHeight="1" thickBot="1" x14ac:dyDescent="0.3">
      <c r="A46" s="168" t="s">
        <v>48</v>
      </c>
      <c r="B46" s="168"/>
      <c r="C46" s="168"/>
      <c r="D46" s="168"/>
      <c r="E46" s="28"/>
    </row>
    <row r="47" spans="1:5" ht="30.6" customHeight="1" thickTop="1" x14ac:dyDescent="0.25">
      <c r="A47" s="191" t="s">
        <v>149</v>
      </c>
      <c r="B47" s="191"/>
      <c r="C47" s="191"/>
      <c r="D47" s="191"/>
      <c r="E47" s="191"/>
    </row>
    <row r="48" spans="1:5" ht="18" x14ac:dyDescent="0.25">
      <c r="A48" s="10"/>
      <c r="B48" s="194" t="s">
        <v>107</v>
      </c>
      <c r="C48" s="194"/>
      <c r="D48" s="195"/>
      <c r="E48" s="39">
        <f>IF(E23&gt;65,ROUNDDOWN(((E10+E11)-(E12+E13+20))+((E23-65)/2)-C42,0),E19)</f>
        <v>0</v>
      </c>
    </row>
    <row r="49" spans="1:5" ht="43.35" customHeight="1" thickBot="1" x14ac:dyDescent="0.3">
      <c r="A49" s="168" t="s">
        <v>73</v>
      </c>
      <c r="B49" s="168"/>
      <c r="C49" s="168"/>
      <c r="D49" s="168"/>
      <c r="E49" s="168"/>
    </row>
    <row r="50" spans="1:5" ht="15.75" thickTop="1" x14ac:dyDescent="0.25">
      <c r="A50" s="196" t="s">
        <v>76</v>
      </c>
      <c r="B50" s="197"/>
      <c r="C50" s="197"/>
      <c r="D50" s="197"/>
      <c r="E50" s="198"/>
    </row>
    <row r="51" spans="1:5" s="55" customFormat="1" ht="14.85" customHeight="1" x14ac:dyDescent="0.2">
      <c r="A51" s="199" t="s">
        <v>85</v>
      </c>
      <c r="B51" s="200"/>
      <c r="C51" s="200"/>
      <c r="D51" s="201"/>
      <c r="E51" s="54">
        <f>E10+E11</f>
        <v>0</v>
      </c>
    </row>
    <row r="52" spans="1:5" s="55" customFormat="1" ht="14.85" customHeight="1" x14ac:dyDescent="0.2">
      <c r="A52" s="199" t="s">
        <v>77</v>
      </c>
      <c r="B52" s="200"/>
      <c r="C52" s="200"/>
      <c r="D52" s="201"/>
      <c r="E52" s="54">
        <f>0-(E12+E13)</f>
        <v>0</v>
      </c>
    </row>
    <row r="53" spans="1:5" s="55" customFormat="1" ht="14.85" customHeight="1" x14ac:dyDescent="0.2">
      <c r="A53" s="202" t="s">
        <v>78</v>
      </c>
      <c r="B53" s="203"/>
      <c r="C53" s="203"/>
      <c r="D53" s="204"/>
      <c r="E53" s="54">
        <f>0-E19</f>
        <v>0</v>
      </c>
    </row>
    <row r="54" spans="1:5" ht="18" customHeight="1" x14ac:dyDescent="0.25">
      <c r="A54" s="188" t="s">
        <v>79</v>
      </c>
      <c r="B54" s="189"/>
      <c r="C54" s="189"/>
      <c r="D54" s="190"/>
      <c r="E54" s="12">
        <f>E51+E52+E53</f>
        <v>0</v>
      </c>
    </row>
    <row r="55" spans="1:5" ht="19.5" customHeight="1" x14ac:dyDescent="0.25">
      <c r="A55" s="208" t="s">
        <v>84</v>
      </c>
      <c r="B55" s="209"/>
      <c r="C55" s="209"/>
      <c r="D55" s="209"/>
      <c r="E55" s="210"/>
    </row>
    <row r="56" spans="1:5" s="55" customFormat="1" ht="14.85" customHeight="1" x14ac:dyDescent="0.2">
      <c r="A56" s="199" t="s">
        <v>85</v>
      </c>
      <c r="B56" s="200"/>
      <c r="C56" s="200"/>
      <c r="D56" s="201"/>
      <c r="E56" s="54">
        <f>E10+E11</f>
        <v>0</v>
      </c>
    </row>
    <row r="57" spans="1:5" s="55" customFormat="1" ht="14.85" customHeight="1" x14ac:dyDescent="0.2">
      <c r="A57" s="199" t="s">
        <v>77</v>
      </c>
      <c r="B57" s="200"/>
      <c r="C57" s="200"/>
      <c r="D57" s="201"/>
      <c r="E57" s="54">
        <f>0-(E12+E13)</f>
        <v>0</v>
      </c>
    </row>
    <row r="58" spans="1:5" s="55" customFormat="1" ht="14.85" customHeight="1" x14ac:dyDescent="0.2">
      <c r="A58" s="199" t="s">
        <v>80</v>
      </c>
      <c r="B58" s="200"/>
      <c r="C58" s="200"/>
      <c r="D58" s="201"/>
      <c r="E58" s="54">
        <f>E22+E23</f>
        <v>0</v>
      </c>
    </row>
    <row r="59" spans="1:5" s="55" customFormat="1" ht="14.85" customHeight="1" x14ac:dyDescent="0.2">
      <c r="A59" s="202" t="s">
        <v>75</v>
      </c>
      <c r="B59" s="203"/>
      <c r="C59" s="203"/>
      <c r="D59" s="204"/>
      <c r="E59" s="56">
        <f>IF(E36="Eligible",(0-E45), 0)</f>
        <v>0</v>
      </c>
    </row>
    <row r="60" spans="1:5" s="55" customFormat="1" ht="14.85" customHeight="1" x14ac:dyDescent="0.2">
      <c r="A60" s="199" t="s">
        <v>82</v>
      </c>
      <c r="B60" s="200"/>
      <c r="C60" s="200"/>
      <c r="D60" s="201"/>
      <c r="E60" s="56">
        <f>IF(E36="Eligible",0,(0-E48))</f>
        <v>0</v>
      </c>
    </row>
    <row r="61" spans="1:5" ht="18" customHeight="1" x14ac:dyDescent="0.25">
      <c r="A61" s="188" t="s">
        <v>81</v>
      </c>
      <c r="B61" s="189"/>
      <c r="C61" s="189"/>
      <c r="D61" s="190"/>
      <c r="E61" s="12">
        <f>(E10+E11)-(E12+E13)+E58+E59+E60</f>
        <v>0</v>
      </c>
    </row>
    <row r="62" spans="1:5" ht="21.6" customHeight="1" x14ac:dyDescent="0.25">
      <c r="A62" s="205" t="s">
        <v>86</v>
      </c>
      <c r="B62" s="206"/>
      <c r="C62" s="206"/>
      <c r="D62" s="207"/>
      <c r="E62" s="57">
        <f>E61-E54</f>
        <v>0</v>
      </c>
    </row>
  </sheetData>
  <sheetProtection algorithmName="SHA-512" hashValue="NKYW5ZM7S1ngr2mISAc6kZWO3a3aLj/Tjv33cnpMBWe4v4w0N8bLEPmt3gYFXzVZ9z4F8uQqcqbwArn+amAePQ==" saltValue="kPHms0CCzQiePrPE2AfUFw==" spinCount="100000" sheet="1" objects="1" scenarios="1" selectLockedCells="1"/>
  <mergeCells count="57">
    <mergeCell ref="A60:D60"/>
    <mergeCell ref="A61:D61"/>
    <mergeCell ref="A62:D62"/>
    <mergeCell ref="A54:D54"/>
    <mergeCell ref="A55:E55"/>
    <mergeCell ref="A56:D56"/>
    <mergeCell ref="A57:D57"/>
    <mergeCell ref="A58:D58"/>
    <mergeCell ref="A59:D59"/>
    <mergeCell ref="A53:D53"/>
    <mergeCell ref="A37:D37"/>
    <mergeCell ref="B38:E38"/>
    <mergeCell ref="B44:D44"/>
    <mergeCell ref="B45:D45"/>
    <mergeCell ref="A46:D46"/>
    <mergeCell ref="A47:E47"/>
    <mergeCell ref="B48:D48"/>
    <mergeCell ref="A49:E49"/>
    <mergeCell ref="A50:E50"/>
    <mergeCell ref="A51:D51"/>
    <mergeCell ref="A52:D52"/>
    <mergeCell ref="B36:D36"/>
    <mergeCell ref="B23:D23"/>
    <mergeCell ref="A24:D24"/>
    <mergeCell ref="B25:D25"/>
    <mergeCell ref="B26:D26"/>
    <mergeCell ref="B27:D27"/>
    <mergeCell ref="B28:D28"/>
    <mergeCell ref="B29:D29"/>
    <mergeCell ref="B11:D11"/>
    <mergeCell ref="B12:D12"/>
    <mergeCell ref="B13:D14"/>
    <mergeCell ref="A15:D15"/>
    <mergeCell ref="B16:D16"/>
    <mergeCell ref="A21:D21"/>
    <mergeCell ref="B30:D30"/>
    <mergeCell ref="B31:D31"/>
    <mergeCell ref="B33:D33"/>
    <mergeCell ref="B34:D34"/>
    <mergeCell ref="B22:D22"/>
    <mergeCell ref="B17:D17"/>
    <mergeCell ref="B18:D18"/>
    <mergeCell ref="B19:B20"/>
    <mergeCell ref="C19:D19"/>
    <mergeCell ref="C20:D20"/>
    <mergeCell ref="A8:E8"/>
    <mergeCell ref="A9:D9"/>
    <mergeCell ref="B10:D10"/>
    <mergeCell ref="A1:E1"/>
    <mergeCell ref="A2:E2"/>
    <mergeCell ref="A3:E3"/>
    <mergeCell ref="A4:B4"/>
    <mergeCell ref="A5:B5"/>
    <mergeCell ref="C5:D5"/>
    <mergeCell ref="A6:B6"/>
    <mergeCell ref="C6:D6"/>
    <mergeCell ref="A7:E7"/>
  </mergeCells>
  <phoneticPr fontId="37" type="noConversion"/>
  <pageMargins left="0.7" right="0.7" top="0.42" bottom="0.75" header="0.05" footer="0.3"/>
  <pageSetup orientation="portrait" r:id="rId1"/>
  <headerFooter differentFirst="1">
    <oddHeader>&amp;C&amp;"Calibri,Regular"&amp;9&amp;K000000Spend Down or Ticket to Work Health Assurance Calculation for Blind Single Adults</oddHeader>
    <oddFooter>&amp;L&amp;"Calibri,Regular"&amp;8&amp;K000000
&amp;R&amp;"Calibri,Regular"&amp;8&amp;K000000 Page &amp;P
Revised 3/14/23</oddFooter>
    <firstHeader>&amp;C&amp;"-,Bold"&amp;18Spend Down or Ticket to Work Health Assurance</firstHeader>
    <firstFooter xml:space="preserve">&amp;L&amp;8
&amp;R&amp;8Revised  3/14/23
</first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showGridLines="0" view="pageLayout" workbookViewId="0">
      <selection activeCell="C4" sqref="C4"/>
    </sheetView>
  </sheetViews>
  <sheetFormatPr defaultColWidth="8.7109375" defaultRowHeight="15" x14ac:dyDescent="0.25"/>
  <cols>
    <col min="1" max="1" width="4.28515625" customWidth="1"/>
    <col min="2" max="2" width="22" customWidth="1"/>
    <col min="3" max="3" width="18.140625" customWidth="1"/>
    <col min="4" max="4" width="32.42578125" customWidth="1"/>
    <col min="5" max="5" width="14.7109375" customWidth="1"/>
  </cols>
  <sheetData>
    <row r="1" spans="1:5" ht="18" customHeight="1" thickBot="1" x14ac:dyDescent="0.3">
      <c r="A1" s="237" t="s">
        <v>156</v>
      </c>
      <c r="B1" s="237"/>
      <c r="C1" s="237"/>
      <c r="D1" s="237"/>
      <c r="E1" s="237"/>
    </row>
    <row r="2" spans="1:5" ht="15.75" customHeight="1" thickTop="1" thickBot="1" x14ac:dyDescent="0.3">
      <c r="A2" s="221" t="s">
        <v>155</v>
      </c>
      <c r="B2" s="221"/>
      <c r="C2" s="221"/>
      <c r="D2" s="221"/>
      <c r="E2" s="221"/>
    </row>
    <row r="3" spans="1:5" ht="15" customHeight="1" thickTop="1" x14ac:dyDescent="0.25">
      <c r="A3" s="238" t="s">
        <v>104</v>
      </c>
      <c r="B3" s="239"/>
      <c r="C3" s="239"/>
      <c r="D3" s="239"/>
      <c r="E3" s="239"/>
    </row>
    <row r="4" spans="1:5" ht="18" customHeight="1" x14ac:dyDescent="0.25">
      <c r="A4" s="155" t="s">
        <v>0</v>
      </c>
      <c r="B4" s="155"/>
      <c r="C4" s="38" t="s">
        <v>83</v>
      </c>
      <c r="D4" s="240"/>
      <c r="E4" s="240"/>
    </row>
    <row r="5" spans="1:5" ht="21.6" customHeight="1" x14ac:dyDescent="0.25">
      <c r="A5" s="155" t="s">
        <v>51</v>
      </c>
      <c r="B5" s="155"/>
      <c r="C5" s="219" t="s">
        <v>83</v>
      </c>
      <c r="D5" s="219"/>
      <c r="E5" s="219"/>
    </row>
    <row r="6" spans="1:5" ht="21.6" customHeight="1" x14ac:dyDescent="0.25">
      <c r="A6" s="157" t="s">
        <v>2</v>
      </c>
      <c r="B6" s="157"/>
      <c r="C6" s="229"/>
      <c r="D6" s="229"/>
      <c r="E6" s="229"/>
    </row>
    <row r="7" spans="1:5" ht="15.75" customHeight="1" x14ac:dyDescent="0.25">
      <c r="A7" s="159" t="s">
        <v>38</v>
      </c>
      <c r="B7" s="159"/>
      <c r="C7" s="159"/>
      <c r="D7" s="159"/>
      <c r="E7" s="159"/>
    </row>
    <row r="8" spans="1:5" ht="18.75" customHeight="1" thickBot="1" x14ac:dyDescent="0.3">
      <c r="A8" s="160" t="s">
        <v>3</v>
      </c>
      <c r="B8" s="160"/>
      <c r="C8" s="160"/>
      <c r="D8" s="160"/>
      <c r="E8" s="160"/>
    </row>
    <row r="9" spans="1:5" ht="29.1" customHeight="1" thickTop="1" thickBot="1" x14ac:dyDescent="0.3">
      <c r="A9" s="161" t="s">
        <v>40</v>
      </c>
      <c r="B9" s="161"/>
      <c r="C9" s="161"/>
      <c r="D9" s="161"/>
      <c r="E9" s="45"/>
    </row>
    <row r="10" spans="1:5" ht="15.75" thickTop="1" x14ac:dyDescent="0.25">
      <c r="A10" s="7" t="s">
        <v>4</v>
      </c>
      <c r="B10" s="148" t="s">
        <v>154</v>
      </c>
      <c r="C10" s="148"/>
      <c r="D10" s="149"/>
      <c r="E10" s="70">
        <v>0</v>
      </c>
    </row>
    <row r="11" spans="1:5" x14ac:dyDescent="0.25">
      <c r="A11" s="7" t="s">
        <v>5</v>
      </c>
      <c r="B11" s="148" t="s">
        <v>153</v>
      </c>
      <c r="C11" s="148"/>
      <c r="D11" s="149"/>
      <c r="E11" s="70">
        <v>0</v>
      </c>
    </row>
    <row r="12" spans="1:5" x14ac:dyDescent="0.25">
      <c r="A12" s="7" t="s">
        <v>6</v>
      </c>
      <c r="B12" s="148" t="s">
        <v>58</v>
      </c>
      <c r="C12" s="148"/>
      <c r="D12" s="149"/>
      <c r="E12" s="70">
        <v>0</v>
      </c>
    </row>
    <row r="13" spans="1:5" ht="15" customHeight="1" x14ac:dyDescent="0.25">
      <c r="A13" s="7" t="s">
        <v>7</v>
      </c>
      <c r="B13" s="148" t="s">
        <v>100</v>
      </c>
      <c r="C13" s="148"/>
      <c r="D13" s="149"/>
      <c r="E13" s="70">
        <v>0</v>
      </c>
    </row>
    <row r="14" spans="1:5" x14ac:dyDescent="0.25">
      <c r="A14" s="7" t="s">
        <v>8</v>
      </c>
      <c r="B14" s="241" t="s">
        <v>101</v>
      </c>
      <c r="C14" s="241"/>
      <c r="D14" s="242"/>
      <c r="E14" s="71">
        <v>0</v>
      </c>
    </row>
    <row r="15" spans="1:5" ht="15.75" thickBot="1" x14ac:dyDescent="0.3">
      <c r="A15" s="29"/>
      <c r="B15" s="243"/>
      <c r="C15" s="243"/>
      <c r="D15" s="244"/>
      <c r="E15" s="30" t="s">
        <v>83</v>
      </c>
    </row>
    <row r="16" spans="1:5" ht="29.1" customHeight="1" thickTop="1" thickBot="1" x14ac:dyDescent="0.3">
      <c r="A16" s="168" t="s">
        <v>43</v>
      </c>
      <c r="B16" s="168"/>
      <c r="C16" s="168"/>
      <c r="D16" s="168"/>
      <c r="E16" s="51"/>
    </row>
    <row r="17" spans="1:5" ht="15.75" thickTop="1" x14ac:dyDescent="0.25">
      <c r="A17" s="9" t="s">
        <v>9</v>
      </c>
      <c r="B17" s="169" t="s">
        <v>39</v>
      </c>
      <c r="C17" s="169"/>
      <c r="D17" s="170"/>
      <c r="E17" s="13">
        <f xml:space="preserve"> E10+E11</f>
        <v>0</v>
      </c>
    </row>
    <row r="18" spans="1:5" x14ac:dyDescent="0.25">
      <c r="A18" s="9" t="s">
        <v>10</v>
      </c>
      <c r="B18" s="245" t="s">
        <v>94</v>
      </c>
      <c r="C18" s="245"/>
      <c r="D18" s="246"/>
      <c r="E18" s="67">
        <f>IF(E19-E20&gt;0,E19-E20,0)</f>
        <v>0</v>
      </c>
    </row>
    <row r="19" spans="1:5" x14ac:dyDescent="0.25">
      <c r="A19" s="247" t="s">
        <v>93</v>
      </c>
      <c r="B19" s="248"/>
      <c r="C19" s="248"/>
      <c r="D19" s="249"/>
      <c r="E19" s="68">
        <f>E12</f>
        <v>0</v>
      </c>
    </row>
    <row r="20" spans="1:5" x14ac:dyDescent="0.25">
      <c r="A20" s="247" t="s">
        <v>92</v>
      </c>
      <c r="B20" s="248"/>
      <c r="C20" s="248"/>
      <c r="D20" s="249"/>
      <c r="E20" s="69">
        <f>(IF((E12-65)&gt;0,ROUND((E12-65)/2,2),0))+65</f>
        <v>65</v>
      </c>
    </row>
    <row r="21" spans="1:5" ht="15" customHeight="1" x14ac:dyDescent="0.25">
      <c r="A21" s="9" t="s">
        <v>11</v>
      </c>
      <c r="B21" s="171" t="s">
        <v>42</v>
      </c>
      <c r="C21" s="171"/>
      <c r="D21" s="172"/>
      <c r="E21" s="12">
        <f>IF(E17+E18&gt;0,20,0)</f>
        <v>0</v>
      </c>
    </row>
    <row r="22" spans="1:5" ht="15.75" x14ac:dyDescent="0.25">
      <c r="A22" s="9" t="s">
        <v>12</v>
      </c>
      <c r="B22" s="171" t="s">
        <v>90</v>
      </c>
      <c r="C22" s="171"/>
      <c r="D22" s="172"/>
      <c r="E22" s="52">
        <f>IF(E17+E18&gt;0,IF(((E17+E18)-(E13+E14+E21))&gt;0,(E17+E18)-(E13+E14+E21),0),0)</f>
        <v>0</v>
      </c>
    </row>
    <row r="23" spans="1:5" ht="15.75" customHeight="1" x14ac:dyDescent="0.25">
      <c r="A23" s="35"/>
      <c r="B23" s="173" t="s">
        <v>83</v>
      </c>
      <c r="C23" s="175" t="s">
        <v>47</v>
      </c>
      <c r="D23" s="176"/>
      <c r="E23" s="18">
        <f>ROUNDDOWN(IF(E22-C46&gt;0,E22-C46,0),0)</f>
        <v>0</v>
      </c>
    </row>
    <row r="24" spans="1:5" ht="26.1" customHeight="1" thickBot="1" x14ac:dyDescent="0.3">
      <c r="A24" s="34"/>
      <c r="B24" s="174"/>
      <c r="C24" s="250" t="s">
        <v>174</v>
      </c>
      <c r="D24" s="251"/>
      <c r="E24" s="17"/>
    </row>
    <row r="25" spans="1:5" ht="29.1" customHeight="1" thickTop="1" thickBot="1" x14ac:dyDescent="0.3">
      <c r="A25" s="161" t="s">
        <v>44</v>
      </c>
      <c r="B25" s="161"/>
      <c r="C25" s="161"/>
      <c r="D25" s="161"/>
      <c r="E25" s="45"/>
    </row>
    <row r="26" spans="1:5" ht="15.75" customHeight="1" thickTop="1" x14ac:dyDescent="0.25">
      <c r="A26" s="36" t="s">
        <v>13</v>
      </c>
      <c r="B26" s="162" t="s">
        <v>172</v>
      </c>
      <c r="C26" s="162"/>
      <c r="D26" s="163"/>
      <c r="E26" s="70">
        <v>0</v>
      </c>
    </row>
    <row r="27" spans="1:5" ht="15.75" thickBot="1" x14ac:dyDescent="0.3">
      <c r="A27" s="6" t="s">
        <v>14</v>
      </c>
      <c r="B27" s="179" t="s">
        <v>173</v>
      </c>
      <c r="C27" s="179"/>
      <c r="D27" s="179"/>
      <c r="E27" s="70">
        <v>0</v>
      </c>
    </row>
    <row r="28" spans="1:5" ht="29.1" customHeight="1" thickTop="1" thickBot="1" x14ac:dyDescent="0.3">
      <c r="A28" s="161" t="s">
        <v>45</v>
      </c>
      <c r="B28" s="161"/>
      <c r="C28" s="161"/>
      <c r="D28" s="161"/>
      <c r="E28" s="11"/>
    </row>
    <row r="29" spans="1:5" ht="15.75" customHeight="1" thickTop="1" x14ac:dyDescent="0.25">
      <c r="A29" s="9" t="s">
        <v>18</v>
      </c>
      <c r="B29" s="180" t="s">
        <v>41</v>
      </c>
      <c r="C29" s="180"/>
      <c r="D29" s="181"/>
      <c r="E29" s="13">
        <f>IF(E26+E27&gt;0,E10+E11,0)</f>
        <v>0</v>
      </c>
    </row>
    <row r="30" spans="1:5" x14ac:dyDescent="0.25">
      <c r="A30" s="9" t="s">
        <v>19</v>
      </c>
      <c r="B30" s="252" t="s">
        <v>59</v>
      </c>
      <c r="C30" s="252"/>
      <c r="D30" s="253"/>
      <c r="E30" s="13">
        <f>IF(E26+E27&gt;0,E18,0)</f>
        <v>0</v>
      </c>
    </row>
    <row r="31" spans="1:5" x14ac:dyDescent="0.25">
      <c r="A31" s="9" t="s">
        <v>20</v>
      </c>
      <c r="B31" s="171" t="s">
        <v>42</v>
      </c>
      <c r="C31" s="171"/>
      <c r="D31" s="172"/>
      <c r="E31" s="12">
        <f>IF(E26+E27&gt;0,20,0)</f>
        <v>0</v>
      </c>
    </row>
    <row r="32" spans="1:5" x14ac:dyDescent="0.25">
      <c r="A32" s="9" t="s">
        <v>25</v>
      </c>
      <c r="B32" s="171" t="s">
        <v>17</v>
      </c>
      <c r="C32" s="171"/>
      <c r="D32" s="172"/>
      <c r="E32" s="13">
        <f>IF(E26+E27&gt;0,(IF(E10&gt;50,50,E10)),0)</f>
        <v>0</v>
      </c>
    </row>
    <row r="33" spans="1:5" x14ac:dyDescent="0.25">
      <c r="A33" s="9" t="s">
        <v>28</v>
      </c>
      <c r="B33" s="171" t="s">
        <v>23</v>
      </c>
      <c r="C33" s="171"/>
      <c r="D33" s="172"/>
      <c r="E33" s="12">
        <f>IF(E26+E27&gt;0,IF(E13&gt;75,E13,IF(E13&gt;0,75,0)),E13)</f>
        <v>0</v>
      </c>
    </row>
    <row r="34" spans="1:5" x14ac:dyDescent="0.25">
      <c r="A34" s="9" t="s">
        <v>29</v>
      </c>
      <c r="B34" s="171" t="s">
        <v>98</v>
      </c>
      <c r="C34" s="171"/>
      <c r="D34" s="172"/>
      <c r="E34" s="12">
        <f>E14</f>
        <v>0</v>
      </c>
    </row>
    <row r="35" spans="1:5" ht="15" customHeight="1" x14ac:dyDescent="0.25">
      <c r="A35" s="9" t="s">
        <v>30</v>
      </c>
      <c r="B35" s="171" t="s">
        <v>24</v>
      </c>
      <c r="C35" s="171"/>
      <c r="D35" s="172"/>
      <c r="E35" s="12">
        <f>IF(E26+E27&gt;0,(E26+E27)/2,0)</f>
        <v>0</v>
      </c>
    </row>
    <row r="36" spans="1:5" ht="15.75" customHeight="1" x14ac:dyDescent="0.25">
      <c r="A36" s="21" t="s">
        <v>60</v>
      </c>
      <c r="B36" s="182" t="s">
        <v>61</v>
      </c>
      <c r="C36" s="182"/>
      <c r="D36" s="183"/>
      <c r="E36" s="40">
        <f>IF(AND(E26+E27&gt;0,(E29+E30)-SUM(E31:E35)&gt;0),(E29+E30)-SUM(E31:E35),0)</f>
        <v>0</v>
      </c>
    </row>
    <row r="37" spans="1:5" ht="15" customHeight="1" x14ac:dyDescent="0.25">
      <c r="A37" s="24"/>
      <c r="B37" s="53" t="s">
        <v>91</v>
      </c>
      <c r="C37" s="19" t="s">
        <v>22</v>
      </c>
      <c r="D37" s="20">
        <v>1297</v>
      </c>
      <c r="E37" s="76" t="str">
        <f>IF((E26+E27)&gt;0,IF(E36&gt;D37,"Ineligible","Eligible"),"Ineligible ")</f>
        <v xml:space="preserve">Ineligible </v>
      </c>
    </row>
    <row r="38" spans="1:5" ht="15.75" x14ac:dyDescent="0.25">
      <c r="A38" s="37" t="s">
        <v>62</v>
      </c>
      <c r="B38" s="184" t="s">
        <v>63</v>
      </c>
      <c r="C38" s="184"/>
      <c r="D38" s="185"/>
      <c r="E38" s="22">
        <f>IF((E26+E27)&gt;0,E27+E29+E12,0)</f>
        <v>0</v>
      </c>
    </row>
    <row r="39" spans="1:5" x14ac:dyDescent="0.25">
      <c r="A39" s="24"/>
      <c r="B39" s="53" t="s">
        <v>31</v>
      </c>
      <c r="C39" s="19" t="s">
        <v>32</v>
      </c>
      <c r="D39" s="20">
        <v>4578</v>
      </c>
      <c r="E39" s="23" t="str">
        <f>IF((E26+E27)&gt;0,IF(E38&gt;D39,"Ineligible","Eligible"),"Ineligible ")</f>
        <v xml:space="preserve">Ineligible </v>
      </c>
    </row>
    <row r="40" spans="1:5" ht="21.6" customHeight="1" thickBot="1" x14ac:dyDescent="0.3">
      <c r="A40" s="31"/>
      <c r="B40" s="186" t="s">
        <v>21</v>
      </c>
      <c r="C40" s="186"/>
      <c r="D40" s="187"/>
      <c r="E40" s="62" t="str">
        <f>IF(E37="Eligible",IF(E39="Eligible","Eligible","Ineligible"),"Ineligible")</f>
        <v>Ineligible</v>
      </c>
    </row>
    <row r="41" spans="1:5" ht="32.85" customHeight="1" thickTop="1" thickBot="1" x14ac:dyDescent="0.3">
      <c r="A41" s="168" t="s">
        <v>33</v>
      </c>
      <c r="B41" s="168"/>
      <c r="C41" s="168"/>
      <c r="D41" s="168"/>
      <c r="E41" s="44"/>
    </row>
    <row r="42" spans="1:5" ht="33.6" customHeight="1" thickTop="1" x14ac:dyDescent="0.25">
      <c r="A42" s="15"/>
      <c r="B42" s="191" t="s">
        <v>106</v>
      </c>
      <c r="C42" s="191"/>
      <c r="D42" s="191"/>
      <c r="E42" s="191"/>
    </row>
    <row r="43" spans="1:5" ht="16.5" x14ac:dyDescent="0.25">
      <c r="A43" s="15"/>
      <c r="B43" s="141" t="s">
        <v>34</v>
      </c>
      <c r="C43" s="83">
        <v>3814.99</v>
      </c>
      <c r="D43" s="142" t="s">
        <v>35</v>
      </c>
      <c r="E43" s="83">
        <v>211</v>
      </c>
    </row>
    <row r="44" spans="1:5" ht="16.5" x14ac:dyDescent="0.25">
      <c r="A44" s="15"/>
      <c r="B44" s="141" t="s">
        <v>34</v>
      </c>
      <c r="C44" s="143">
        <v>3051.99</v>
      </c>
      <c r="D44" s="142" t="s">
        <v>35</v>
      </c>
      <c r="E44" s="83">
        <v>141</v>
      </c>
    </row>
    <row r="45" spans="1:5" ht="16.5" x14ac:dyDescent="0.25">
      <c r="A45" s="15"/>
      <c r="B45" s="141" t="s">
        <v>34</v>
      </c>
      <c r="C45" s="143">
        <v>2288.9899999999998</v>
      </c>
      <c r="D45" s="142" t="s">
        <v>35</v>
      </c>
      <c r="E45" s="83">
        <v>85</v>
      </c>
    </row>
    <row r="46" spans="1:5" ht="16.5" x14ac:dyDescent="0.25">
      <c r="A46" s="15"/>
      <c r="B46" s="141" t="s">
        <v>34</v>
      </c>
      <c r="C46" s="143">
        <v>1526</v>
      </c>
      <c r="D46" s="142" t="s">
        <v>35</v>
      </c>
      <c r="E46" s="83">
        <v>56</v>
      </c>
    </row>
    <row r="47" spans="1:5" ht="27.6" customHeight="1" x14ac:dyDescent="0.25">
      <c r="A47" s="15"/>
      <c r="B47" s="144">
        <f>C46</f>
        <v>1526</v>
      </c>
      <c r="C47" s="145" t="s">
        <v>102</v>
      </c>
      <c r="D47" s="142" t="s">
        <v>35</v>
      </c>
      <c r="E47" s="83">
        <v>0</v>
      </c>
    </row>
    <row r="48" spans="1:5" x14ac:dyDescent="0.25">
      <c r="A48" s="63" t="s">
        <v>89</v>
      </c>
      <c r="B48" s="254" t="s">
        <v>64</v>
      </c>
      <c r="C48" s="254"/>
      <c r="D48" s="255"/>
      <c r="E48" s="14">
        <f>E38</f>
        <v>0</v>
      </c>
    </row>
    <row r="49" spans="1:5" ht="18" x14ac:dyDescent="0.25">
      <c r="A49" s="64"/>
      <c r="B49" s="256" t="s">
        <v>36</v>
      </c>
      <c r="C49" s="256"/>
      <c r="D49" s="257"/>
      <c r="E49" s="32" t="str">
        <f>IF(E40="Eligible",(IF(E38&gt;C43,E43,(IF(E38&gt;C44,E44,(IF(E38&gt;C45,E45,(IF(E38&gt;C46,E46,0)))))))), " ")</f>
        <v xml:space="preserve"> </v>
      </c>
    </row>
    <row r="50" spans="1:5" ht="32.85" customHeight="1" thickBot="1" x14ac:dyDescent="0.3">
      <c r="A50" s="258" t="s">
        <v>48</v>
      </c>
      <c r="B50" s="258"/>
      <c r="C50" s="258"/>
      <c r="D50" s="258"/>
      <c r="E50" s="65"/>
    </row>
    <row r="51" spans="1:5" ht="32.85" customHeight="1" thickTop="1" x14ac:dyDescent="0.25">
      <c r="A51" s="191" t="s">
        <v>149</v>
      </c>
      <c r="B51" s="191"/>
      <c r="C51" s="191"/>
      <c r="D51" s="191"/>
      <c r="E51" s="191"/>
    </row>
    <row r="52" spans="1:5" ht="18" x14ac:dyDescent="0.25">
      <c r="A52" s="66"/>
      <c r="B52" s="194" t="s">
        <v>107</v>
      </c>
      <c r="C52" s="194"/>
      <c r="D52" s="195"/>
      <c r="E52" s="39">
        <f>IF(E27+E12&gt;65,ROUNDDOWN(((E10+E11)-(E13+E14+E31))+((E27+E12-65)/2)-C46,0),E23)</f>
        <v>0</v>
      </c>
    </row>
    <row r="53" spans="1:5" ht="37.5" customHeight="1" thickBot="1" x14ac:dyDescent="0.3">
      <c r="A53" s="168" t="s">
        <v>73</v>
      </c>
      <c r="B53" s="168"/>
      <c r="C53" s="168"/>
      <c r="D53" s="168"/>
      <c r="E53" s="168"/>
    </row>
    <row r="54" spans="1:5" ht="21.6" customHeight="1" thickTop="1" x14ac:dyDescent="0.25">
      <c r="A54" s="214" t="s">
        <v>76</v>
      </c>
      <c r="B54" s="259"/>
      <c r="C54" s="259"/>
      <c r="D54" s="259"/>
      <c r="E54" s="259"/>
    </row>
    <row r="55" spans="1:5" x14ac:dyDescent="0.25">
      <c r="A55" s="199" t="s">
        <v>85</v>
      </c>
      <c r="B55" s="200"/>
      <c r="C55" s="200"/>
      <c r="D55" s="201"/>
      <c r="E55" s="54">
        <f>E10+E11</f>
        <v>0</v>
      </c>
    </row>
    <row r="56" spans="1:5" x14ac:dyDescent="0.25">
      <c r="A56" s="199" t="s">
        <v>88</v>
      </c>
      <c r="B56" s="200"/>
      <c r="C56" s="200"/>
      <c r="D56" s="201"/>
      <c r="E56" s="54">
        <f>E12</f>
        <v>0</v>
      </c>
    </row>
    <row r="57" spans="1:5" x14ac:dyDescent="0.25">
      <c r="A57" s="199" t="s">
        <v>77</v>
      </c>
      <c r="B57" s="200"/>
      <c r="C57" s="200"/>
      <c r="D57" s="201"/>
      <c r="E57" s="54">
        <f>0-(E13+E14)</f>
        <v>0</v>
      </c>
    </row>
    <row r="58" spans="1:5" x14ac:dyDescent="0.25">
      <c r="A58" s="202" t="s">
        <v>78</v>
      </c>
      <c r="B58" s="203"/>
      <c r="C58" s="203"/>
      <c r="D58" s="204"/>
      <c r="E58" s="54">
        <f>0-E23</f>
        <v>0</v>
      </c>
    </row>
    <row r="59" spans="1:5" x14ac:dyDescent="0.25">
      <c r="A59" s="188" t="s">
        <v>79</v>
      </c>
      <c r="B59" s="189"/>
      <c r="C59" s="189"/>
      <c r="D59" s="190"/>
      <c r="E59" s="12">
        <f>E55+E56+E57+E58</f>
        <v>0</v>
      </c>
    </row>
    <row r="60" spans="1:5" ht="21.6" customHeight="1" x14ac:dyDescent="0.25">
      <c r="A60" s="218" t="s">
        <v>87</v>
      </c>
      <c r="B60" s="218"/>
      <c r="C60" s="218"/>
      <c r="D60" s="218"/>
      <c r="E60" s="218"/>
    </row>
    <row r="61" spans="1:5" x14ac:dyDescent="0.25">
      <c r="A61" s="199" t="s">
        <v>85</v>
      </c>
      <c r="B61" s="200"/>
      <c r="C61" s="200"/>
      <c r="D61" s="201"/>
      <c r="E61" s="54">
        <f>E10+E11</f>
        <v>0</v>
      </c>
    </row>
    <row r="62" spans="1:5" x14ac:dyDescent="0.25">
      <c r="A62" s="199" t="s">
        <v>80</v>
      </c>
      <c r="B62" s="200"/>
      <c r="C62" s="200"/>
      <c r="D62" s="201"/>
      <c r="E62" s="54">
        <f>E26+E27</f>
        <v>0</v>
      </c>
    </row>
    <row r="63" spans="1:5" x14ac:dyDescent="0.25">
      <c r="A63" s="199" t="s">
        <v>88</v>
      </c>
      <c r="B63" s="200"/>
      <c r="C63" s="200"/>
      <c r="D63" s="201"/>
      <c r="E63" s="54">
        <f>E12</f>
        <v>0</v>
      </c>
    </row>
    <row r="64" spans="1:5" x14ac:dyDescent="0.25">
      <c r="A64" s="199" t="s">
        <v>77</v>
      </c>
      <c r="B64" s="200"/>
      <c r="C64" s="200"/>
      <c r="D64" s="201"/>
      <c r="E64" s="54">
        <f>0-(E13+E14)</f>
        <v>0</v>
      </c>
    </row>
    <row r="65" spans="1:5" x14ac:dyDescent="0.25">
      <c r="A65" s="202" t="s">
        <v>75</v>
      </c>
      <c r="B65" s="203"/>
      <c r="C65" s="203"/>
      <c r="D65" s="204"/>
      <c r="E65" s="56">
        <f>IF(E40="Eligible",0-E49, 0)</f>
        <v>0</v>
      </c>
    </row>
    <row r="66" spans="1:5" x14ac:dyDescent="0.25">
      <c r="A66" s="199" t="s">
        <v>82</v>
      </c>
      <c r="B66" s="200"/>
      <c r="C66" s="200"/>
      <c r="D66" s="201"/>
      <c r="E66" s="56">
        <f>IF(E40="Eligible",0,0-E52)</f>
        <v>0</v>
      </c>
    </row>
    <row r="67" spans="1:5" x14ac:dyDescent="0.25">
      <c r="A67" s="188" t="s">
        <v>81</v>
      </c>
      <c r="B67" s="189"/>
      <c r="C67" s="189"/>
      <c r="D67" s="190"/>
      <c r="E67" s="12">
        <f>E61+E63+E62+E64+E65+E66</f>
        <v>0</v>
      </c>
    </row>
    <row r="68" spans="1:5" ht="29.1" customHeight="1" x14ac:dyDescent="0.25">
      <c r="A68" s="260" t="s">
        <v>86</v>
      </c>
      <c r="B68" s="261"/>
      <c r="C68" s="261"/>
      <c r="D68" s="262"/>
      <c r="E68" s="40">
        <f>E67-E59</f>
        <v>0</v>
      </c>
    </row>
  </sheetData>
  <sheetProtection algorithmName="SHA-512" hashValue="pbmcvu3+8tUhUS+J6d6G+ZB/3c4yWC7wsdN7eZR/J359n1MSDVq2mCdG986HjvskJF5a0rUU2Z5jzAhym0rWNg==" saltValue="sH7OZAFNeFnEYwMMK6fiwQ==" spinCount="100000" sheet="1" objects="1" scenarios="1" selectLockedCells="1"/>
  <mergeCells count="64">
    <mergeCell ref="A1:E1"/>
    <mergeCell ref="A2:E2"/>
    <mergeCell ref="A3:E3"/>
    <mergeCell ref="A4:B4"/>
    <mergeCell ref="D4:E4"/>
    <mergeCell ref="B10:D10"/>
    <mergeCell ref="B11:D11"/>
    <mergeCell ref="B12:D12"/>
    <mergeCell ref="B13:D13"/>
    <mergeCell ref="A5:B5"/>
    <mergeCell ref="C5:E5"/>
    <mergeCell ref="A6:B6"/>
    <mergeCell ref="C6:E6"/>
    <mergeCell ref="A7:E7"/>
    <mergeCell ref="A8:E8"/>
    <mergeCell ref="A9:D9"/>
    <mergeCell ref="B14:D15"/>
    <mergeCell ref="A16:D16"/>
    <mergeCell ref="B30:D30"/>
    <mergeCell ref="B18:D18"/>
    <mergeCell ref="A19:D19"/>
    <mergeCell ref="A20:D20"/>
    <mergeCell ref="B21:D21"/>
    <mergeCell ref="B22:D22"/>
    <mergeCell ref="B23:B24"/>
    <mergeCell ref="C23:D23"/>
    <mergeCell ref="B17:D17"/>
    <mergeCell ref="B36:D36"/>
    <mergeCell ref="B38:D38"/>
    <mergeCell ref="B40:D40"/>
    <mergeCell ref="A41:D41"/>
    <mergeCell ref="C24:D24"/>
    <mergeCell ref="A25:D25"/>
    <mergeCell ref="B26:D26"/>
    <mergeCell ref="B27:D27"/>
    <mergeCell ref="A28:D28"/>
    <mergeCell ref="B29:D29"/>
    <mergeCell ref="B31:D31"/>
    <mergeCell ref="B32:D32"/>
    <mergeCell ref="B33:D33"/>
    <mergeCell ref="B34:D34"/>
    <mergeCell ref="B35:D35"/>
    <mergeCell ref="B42:E42"/>
    <mergeCell ref="B48:D48"/>
    <mergeCell ref="A61:D61"/>
    <mergeCell ref="A50:D50"/>
    <mergeCell ref="A51:E51"/>
    <mergeCell ref="B52:D52"/>
    <mergeCell ref="A53:E53"/>
    <mergeCell ref="A54:E54"/>
    <mergeCell ref="A55:D55"/>
    <mergeCell ref="A56:D56"/>
    <mergeCell ref="B49:D49"/>
    <mergeCell ref="A57:D57"/>
    <mergeCell ref="A58:D58"/>
    <mergeCell ref="A59:D59"/>
    <mergeCell ref="A60:E60"/>
    <mergeCell ref="A68:D68"/>
    <mergeCell ref="A62:D62"/>
    <mergeCell ref="A63:D63"/>
    <mergeCell ref="A64:D64"/>
    <mergeCell ref="A65:D65"/>
    <mergeCell ref="A66:D66"/>
    <mergeCell ref="A67:D67"/>
  </mergeCells>
  <phoneticPr fontId="37" type="noConversion"/>
  <pageMargins left="0.25" right="0.25" top="0.5" bottom="0.75" header="0.3" footer="0.3"/>
  <pageSetup orientation="portrait" horizontalDpi="300" verticalDpi="300" r:id="rId1"/>
  <headerFooter differentFirst="1">
    <oddHeader>&amp;L&amp;"Calibri,Italic"&amp;9&amp;K000000Spend Down or Ticket to Work Health Assurance Calculation for Couples, one blind_x000D__x000D_</oddHeader>
    <oddFooter>&amp;C&amp;"Calibri,Regular"&amp;K000000
&amp;R&amp;"Calibri,Regular"&amp;8&amp;K000000 Page &amp;P
Revised 3/17/22</oddFooter>
    <firstHeader>&amp;C&amp;"-,Bold"&amp;18Spend Down or Ticket to Work Health Assurance</firstHeader>
    <firstFooter>&amp;R&amp;8Revised 3/17/22</first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 Single Adult</vt:lpstr>
      <vt:lpstr>Couple, both disabled</vt:lpstr>
      <vt:lpstr>Couple, 1 with disability</vt:lpstr>
      <vt:lpstr>Disabled Child &lt; 18 </vt:lpstr>
      <vt:lpstr> Blind Single</vt:lpstr>
      <vt:lpstr>Couple, 1 blind</vt:lpstr>
      <vt:lpstr>'Couple, both disabled'!Print_Area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Standifer</dc:creator>
  <cp:lastModifiedBy>Witherbee, Anna</cp:lastModifiedBy>
  <cp:lastPrinted>2023-03-10T18:04:16Z</cp:lastPrinted>
  <dcterms:created xsi:type="dcterms:W3CDTF">2008-08-13T16:24:15Z</dcterms:created>
  <dcterms:modified xsi:type="dcterms:W3CDTF">2023-04-03T15:23:49Z</dcterms:modified>
</cp:coreProperties>
</file>