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zhomedir-v\HomeDir\mzleona\Desktop\"/>
    </mc:Choice>
  </mc:AlternateContent>
  <bookViews>
    <workbookView xWindow="0" yWindow="-465" windowWidth="28800" windowHeight="18000"/>
  </bookViews>
  <sheets>
    <sheet name="Single" sheetId="1" r:id="rId1"/>
    <sheet name="Couples, both disabled" sheetId="2" r:id="rId2"/>
    <sheet name="Couples, 1 with disability" sheetId="6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65" i="6"/>
  <c r="E64" i="6"/>
  <c r="E63" i="6"/>
  <c r="E62" i="6"/>
  <c r="E58" i="6"/>
  <c r="E57" i="6"/>
  <c r="E56" i="6"/>
  <c r="B48" i="6"/>
  <c r="E36" i="6"/>
  <c r="E35" i="6"/>
  <c r="E34" i="6"/>
  <c r="E33" i="6"/>
  <c r="E32" i="6"/>
  <c r="E30" i="6"/>
  <c r="E39" i="6" s="1"/>
  <c r="E21" i="6"/>
  <c r="E20" i="6"/>
  <c r="E18" i="6"/>
  <c r="E22" i="6" s="1"/>
  <c r="E31" i="6"/>
  <c r="E30" i="2"/>
  <c r="E40" i="2" s="1"/>
  <c r="E53" i="2" s="1"/>
  <c r="E19" i="2"/>
  <c r="E71" i="2" s="1"/>
  <c r="E34" i="2"/>
  <c r="E36" i="2"/>
  <c r="E52" i="1"/>
  <c r="E29" i="1"/>
  <c r="E56" i="1"/>
  <c r="E72" i="2"/>
  <c r="E67" i="2"/>
  <c r="E57" i="1"/>
  <c r="E51" i="1"/>
  <c r="E73" i="2"/>
  <c r="E58" i="1"/>
  <c r="E25" i="1"/>
  <c r="B51" i="2"/>
  <c r="E37" i="2"/>
  <c r="E35" i="2"/>
  <c r="E33" i="2"/>
  <c r="E32" i="2"/>
  <c r="E31" i="2"/>
  <c r="E33" i="1"/>
  <c r="E44" i="1" s="1"/>
  <c r="E30" i="1"/>
  <c r="E26" i="1"/>
  <c r="B43" i="1"/>
  <c r="E28" i="1"/>
  <c r="E19" i="6" l="1"/>
  <c r="E23" i="6" s="1"/>
  <c r="E24" i="6" s="1"/>
  <c r="E49" i="6"/>
  <c r="E40" i="6"/>
  <c r="E37" i="6"/>
  <c r="E38" i="6" s="1"/>
  <c r="E41" i="6" s="1"/>
  <c r="E42" i="2"/>
  <c r="E66" i="2"/>
  <c r="E38" i="2"/>
  <c r="E39" i="2" s="1"/>
  <c r="E20" i="2"/>
  <c r="E21" i="2" s="1"/>
  <c r="E22" i="2" s="1"/>
  <c r="E57" i="2" s="1"/>
  <c r="E31" i="1"/>
  <c r="E32" i="1" s="1"/>
  <c r="E35" i="1"/>
  <c r="E16" i="1"/>
  <c r="E50" i="6" l="1"/>
  <c r="E66" i="6" s="1"/>
  <c r="E36" i="1"/>
  <c r="E44" i="2"/>
  <c r="E43" i="2"/>
  <c r="E75" i="2" s="1"/>
  <c r="E68" i="2"/>
  <c r="E69" i="2" s="1"/>
  <c r="E53" i="6"/>
  <c r="E67" i="6" s="1"/>
  <c r="E59" i="6"/>
  <c r="E60" i="6" s="1"/>
  <c r="E17" i="1"/>
  <c r="E18" i="1" s="1"/>
  <c r="E19" i="1" s="1"/>
  <c r="E48" i="1" s="1"/>
  <c r="E60" i="1" l="1"/>
  <c r="E68" i="6"/>
  <c r="E69" i="6" s="1"/>
  <c r="E53" i="1"/>
  <c r="E54" i="1" s="1"/>
  <c r="E45" i="1"/>
  <c r="E59" i="1" s="1"/>
  <c r="E54" i="2"/>
  <c r="E74" i="2" s="1"/>
  <c r="E76" i="2" s="1"/>
  <c r="E77" i="2" s="1"/>
  <c r="E61" i="1" l="1"/>
  <c r="E62" i="1" s="1"/>
</calcChain>
</file>

<file path=xl/sharedStrings.xml><?xml version="1.0" encoding="utf-8"?>
<sst xmlns="http://schemas.openxmlformats.org/spreadsheetml/2006/main" count="287" uniqueCount="125">
  <si>
    <t>Date</t>
  </si>
  <si>
    <t>Client Name</t>
  </si>
  <si>
    <t>Benefits Specialist Name</t>
  </si>
  <si>
    <t>Enter your values in the cells tinted purple. Blue tinted cells will calculate automatically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</si>
  <si>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</si>
  <si>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</si>
  <si>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</si>
  <si>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</si>
  <si>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</si>
  <si>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</si>
  <si>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</si>
  <si>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</si>
  <si>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</si>
  <si>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</si>
  <si>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</si>
  <si>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r>
      <t xml:space="preserve">Amount of unearned income each month </t>
    </r>
    <r>
      <rPr>
        <sz val="9"/>
        <color theme="1"/>
        <rFont val="Arial"/>
        <family val="2"/>
      </rPr>
      <t>(NOT including any SSDI or SSI)</t>
    </r>
  </si>
  <si>
    <t>Amount of dental and/or optical insurance premium each month</t>
  </si>
  <si>
    <t>TWHA SSDI Standard Deduction</t>
  </si>
  <si>
    <t>12)</t>
  </si>
  <si>
    <t>13)</t>
  </si>
  <si>
    <t>14)</t>
  </si>
  <si>
    <t>TWHA Eligibility</t>
  </si>
  <si>
    <t>TWHA net income limit</t>
  </si>
  <si>
    <r>
      <t xml:space="preserve">TWHA deduction for dental/optical insurance </t>
    </r>
    <r>
      <rPr>
        <sz val="9"/>
        <color theme="1"/>
        <rFont val="Arial"/>
        <family val="2"/>
      </rPr>
      <t>(not less than $75)</t>
    </r>
  </si>
  <si>
    <r>
      <t xml:space="preserve">TWHA deduction for Impairment-Related Work Expenses </t>
    </r>
    <r>
      <rPr>
        <sz val="9"/>
        <color theme="1"/>
        <rFont val="Arial"/>
        <family val="2"/>
      </rPr>
      <t>(half of wages)</t>
    </r>
  </si>
  <si>
    <t>15)</t>
  </si>
  <si>
    <t xml:space="preserve">TWHA Gross Income </t>
  </si>
  <si>
    <t>(SSDI, other unearned income, non-sheltered workshop earned income)</t>
  </si>
  <si>
    <t>16)</t>
  </si>
  <si>
    <t>17)</t>
  </si>
  <si>
    <t>18)</t>
  </si>
  <si>
    <t xml:space="preserve"> Gross Income Eligibility</t>
  </si>
  <si>
    <t>TWHA gross income limit</t>
  </si>
  <si>
    <t>Step 4 -TWHA Premium Calculation, If Working</t>
  </si>
  <si>
    <t>Above</t>
  </si>
  <si>
    <t>Premium of</t>
  </si>
  <si>
    <t>Premium</t>
  </si>
  <si>
    <t>Current Calculated Gross Income, if working</t>
  </si>
  <si>
    <t xml:space="preserve">NOTE: This sheet provides only an estimate. This is not an official FSD determination. </t>
  </si>
  <si>
    <t>SSDI plus other unearned income (lines 1 &amp; 2)</t>
  </si>
  <si>
    <t>Step 1 - Unearned Income Amounts</t>
  </si>
  <si>
    <r>
      <t xml:space="preserve">Unearned Income </t>
    </r>
    <r>
      <rPr>
        <sz val="9"/>
        <color theme="1"/>
        <rFont val="Arial"/>
        <family val="2"/>
      </rPr>
      <t>(SSDI and other, except SSI, lines 1 &amp; 2)</t>
    </r>
  </si>
  <si>
    <t>Personal Income Exemption</t>
  </si>
  <si>
    <t>Step 2 - Spend Down Calculation if Not Working</t>
  </si>
  <si>
    <t>Step 3 - Earned Income Amounts</t>
  </si>
  <si>
    <t>Step 4 - TWHA Eligibility If Working</t>
  </si>
  <si>
    <r>
      <t>TWHA Net income</t>
    </r>
    <r>
      <rPr>
        <b/>
        <sz val="9"/>
        <color theme="1"/>
        <rFont val="Arial"/>
        <family val="2"/>
      </rPr>
      <t xml:space="preserve"> (line 10 minus lines 11-15)</t>
    </r>
  </si>
  <si>
    <t>Spend Down Amount, not working</t>
  </si>
  <si>
    <t>Step 5 - Spend Down Calculation if NOT Eligible for TWHA</t>
  </si>
  <si>
    <t>Ticket to Work Health Assurance Calculation Sheet for Singles</t>
  </si>
  <si>
    <t>Amount of monthly SSDI benefits</t>
  </si>
  <si>
    <t>Ticket to Work Health Assurance Calculation Sheet for Couples</t>
  </si>
  <si>
    <t xml:space="preserve"> (State of Missouri only)</t>
  </si>
  <si>
    <t>Client Names</t>
  </si>
  <si>
    <t>Monthly unearned income (OTHER THAN SSDI or SSI) of both spouses</t>
  </si>
  <si>
    <t>Total SSDI and other unearned income (lines 1a,1b, &amp; 2)</t>
  </si>
  <si>
    <r>
      <t xml:space="preserve">Unearned Income </t>
    </r>
    <r>
      <rPr>
        <sz val="9"/>
        <color theme="1"/>
        <rFont val="Arial"/>
        <family val="2"/>
      </rPr>
      <t>(SSDI and other, except SSI, lines 1a, 1b, &amp; 2)</t>
    </r>
  </si>
  <si>
    <t>Spouse 1 TWHA Eligibility</t>
  </si>
  <si>
    <t>Spouse 2 TWHA Eligibility</t>
  </si>
  <si>
    <t>Amount of monthly SSDI benefits of person with a disability</t>
  </si>
  <si>
    <t>Monthly earned income of spouse with no disability</t>
  </si>
  <si>
    <t>Countable Earned Income of spouse with no disability</t>
  </si>
  <si>
    <t>19)</t>
  </si>
  <si>
    <r>
      <t>TWHA Net income</t>
    </r>
    <r>
      <rPr>
        <b/>
        <sz val="9"/>
        <color theme="1"/>
        <rFont val="Arial"/>
        <family val="2"/>
      </rPr>
      <t xml:space="preserve"> (line 12 &amp; 13 minus lines 14-18)</t>
    </r>
  </si>
  <si>
    <t>20)</t>
  </si>
  <si>
    <r>
      <t xml:space="preserve">TWHA Gross Income </t>
    </r>
    <r>
      <rPr>
        <sz val="9"/>
        <color theme="1"/>
        <rFont val="Arial"/>
        <family val="2"/>
      </rPr>
      <t>(SSDI, other unearned income, non-sheltered workshop earned income)</t>
    </r>
  </si>
  <si>
    <r>
      <t xml:space="preserve">Current Calculated Gross Income, if working </t>
    </r>
    <r>
      <rPr>
        <sz val="9"/>
        <color theme="1"/>
        <rFont val="Arial"/>
        <family val="2"/>
      </rPr>
      <t>(line 20, above)</t>
    </r>
  </si>
  <si>
    <t>3a - Monthly dental/optical insurance premium for spouse #1</t>
  </si>
  <si>
    <t>3b - Monthly dental/optical insurance premium for spouse #2</t>
  </si>
  <si>
    <t>1a - Amount each month in SSDI benefits, Spouse 1</t>
  </si>
  <si>
    <t>1b - Amount each month in SSDI benefits, Spouse 2</t>
  </si>
  <si>
    <t>12a - TWHA SSDI Standard Deduction for Spouse 1</t>
  </si>
  <si>
    <r>
      <t xml:space="preserve">13a - TWHA deduction for dental/optical insurance, Spouse 1 </t>
    </r>
    <r>
      <rPr>
        <sz val="9"/>
        <color theme="1"/>
        <rFont val="Arial"/>
        <family val="2"/>
      </rPr>
      <t>(not less than $75)</t>
    </r>
  </si>
  <si>
    <t>12b - TWHA SSDI Standard Deduction for Spouse 2</t>
  </si>
  <si>
    <r>
      <t xml:space="preserve">13b - TWHA deduction for dental/optical insurance, Spouse 2 </t>
    </r>
    <r>
      <rPr>
        <sz val="9"/>
        <color theme="1"/>
        <rFont val="Arial"/>
        <family val="2"/>
      </rPr>
      <t>(not less than $75)</t>
    </r>
  </si>
  <si>
    <t>End Result</t>
  </si>
  <si>
    <t>SSDI Benefits &amp; Unearned</t>
  </si>
  <si>
    <t>TWHA Premium (if any)</t>
  </si>
  <si>
    <t>Current Available Income</t>
  </si>
  <si>
    <t>Insurance Premiums</t>
  </si>
  <si>
    <t>Current Monthly Spend Down</t>
  </si>
  <si>
    <t>Current Available Monthly Income</t>
  </si>
  <si>
    <t>Earned Income</t>
  </si>
  <si>
    <t>Available Monthly Income if working</t>
  </si>
  <si>
    <t>Spend Down with earned income (if any)</t>
  </si>
  <si>
    <t xml:space="preserve"> </t>
  </si>
  <si>
    <t>Potential Available Income (if working)</t>
  </si>
  <si>
    <t>SSDI Benefits &amp; Unearned Income</t>
  </si>
  <si>
    <t>Increase in Available Monthly Income</t>
  </si>
  <si>
    <t>Potential Available Income</t>
  </si>
  <si>
    <t>Spouse's Earned Income</t>
  </si>
  <si>
    <t>21)</t>
  </si>
  <si>
    <r>
      <t>Countable Income, if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6 &amp; 7 minus lines 4, 5 &amp; 8 )</t>
    </r>
  </si>
  <si>
    <t>Net Income Eligibility</t>
  </si>
  <si>
    <t>7) b  - Earned income exemption ($65 plus half of amount &gt; $65)</t>
  </si>
  <si>
    <t>7) a  - Earned income of spouse with no disability (line 3)</t>
  </si>
  <si>
    <t>Countable Earned Income of spouse with no disability (7a minus 7b)</t>
  </si>
  <si>
    <r>
      <t>Countable Income,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3,4, &amp; 6 )</t>
    </r>
  </si>
  <si>
    <r>
      <t>Countable Income, if BOTH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3a, 3b, 4, &amp; 6 )</t>
    </r>
  </si>
  <si>
    <t>Amount of monthly Medicare (SMI) or other health insurance premiums (besides dental/optical)</t>
  </si>
  <si>
    <r>
      <t>Other health insurance premiums</t>
    </r>
    <r>
      <rPr>
        <sz val="10"/>
        <color theme="1"/>
        <rFont val="Arial"/>
        <family val="2"/>
      </rPr>
      <t xml:space="preserve"> (line 4)</t>
    </r>
  </si>
  <si>
    <t>Amount of monthly Medicare (SMI) or other health insurance premiums (besides dental/optical) for both spouses</t>
  </si>
  <si>
    <t>Monthly dental and/or optical insurance premium of person with a disability</t>
  </si>
  <si>
    <t>Amount of monthly Medicare (SMI) or other health insurance premiums (besides dental/optical) of both spouses</t>
  </si>
  <si>
    <t>or less</t>
  </si>
  <si>
    <t xml:space="preserve">1) </t>
  </si>
  <si>
    <t>8a - Amount Spouse 1 earns each month from a sheltered workshop</t>
  </si>
  <si>
    <t>8b - Amount Spouse 2 earns each month from a sheltered workshop</t>
  </si>
  <si>
    <r>
      <t>9a - Amount Spouse 1 earns from any other job</t>
    </r>
    <r>
      <rPr>
        <sz val="9"/>
        <color theme="1"/>
        <rFont val="Arial"/>
        <family val="2"/>
      </rPr>
      <t xml:space="preserve"> (non-sheltered workshop)</t>
    </r>
  </si>
  <si>
    <r>
      <t>9b - Amount Spouse 2 earns from any other job</t>
    </r>
    <r>
      <rPr>
        <sz val="9"/>
        <color theme="1"/>
        <rFont val="Arial"/>
        <family val="2"/>
      </rPr>
      <t xml:space="preserve"> (non-sheltered workshop)</t>
    </r>
  </si>
  <si>
    <t>Amount you earn each month from a sheltered workshop</t>
  </si>
  <si>
    <r>
      <t>Amount you earn from any other job</t>
    </r>
    <r>
      <rPr>
        <sz val="9"/>
        <color theme="1"/>
        <rFont val="Arial"/>
        <family val="2"/>
      </rPr>
      <t xml:space="preserve"> (non-sheltered workshop)</t>
    </r>
  </si>
  <si>
    <t>Monthly amount person with disability earns (if any) from a sheltered workshop</t>
  </si>
  <si>
    <r>
      <t>Amount person with disability earns (if any) from any other job</t>
    </r>
    <r>
      <rPr>
        <sz val="9"/>
        <color theme="1"/>
        <rFont val="Arial"/>
        <family val="2"/>
      </rPr>
      <t xml:space="preserve"> (non-sheltered workshop)</t>
    </r>
  </si>
  <si>
    <t>(SSI recipients who become employed should remain eligible for non-Spend Down Medicaid in the the 1619(a) or (b) category)</t>
  </si>
  <si>
    <t xml:space="preserve">For couples who are eligible for TWHA, the premium will depend on which of the following ranges match their TWHA Gross Income. </t>
  </si>
  <si>
    <t xml:space="preserve">For individuals who are eligible for TWHA, the premium will depend on which of the following ranges match their TWHA Gross Income. </t>
  </si>
  <si>
    <t>For persons with a disability not receiving SSI Benefits (State of Missouri only)</t>
  </si>
  <si>
    <t>For married couples when both spouses have a disability and are not receiving SSI Benefits</t>
  </si>
  <si>
    <t>For married couples when only one spouse has a disability and is not receiving SSI Benefits</t>
  </si>
  <si>
    <t xml:space="preserve">                             (Amount by which Countable Income exceeds non-spend down Income limit of $1,198.00)</t>
  </si>
  <si>
    <t>For couples who working but are not eligible for TWHA (or prefer Spend Down), the Spend Down will increase $1 for every $2 of non-sheltered workshop earned income above $65.</t>
  </si>
  <si>
    <t>For individuals who working but are not eligible for TWHA (or prefer spend down), the Spend Down will increase $1 for every $2 of non-sheltered workshop earned income above $65.</t>
  </si>
  <si>
    <r>
      <t xml:space="preserve">Spend Down Amount </t>
    </r>
    <r>
      <rPr>
        <sz val="11"/>
        <color theme="1"/>
        <rFont val="Arial"/>
        <family val="2"/>
      </rPr>
      <t>(</t>
    </r>
    <r>
      <rPr>
        <sz val="9"/>
        <color theme="1"/>
        <rFont val="Arial Narrow"/>
        <family val="2"/>
      </rPr>
      <t>if a negative number, amount is zero</t>
    </r>
    <r>
      <rPr>
        <sz val="11"/>
        <color theme="1"/>
        <rFont val="Arial"/>
        <family val="2"/>
      </rPr>
      <t>)</t>
    </r>
  </si>
  <si>
    <t xml:space="preserve">              (Amount by which Countable Income exceeds the non-spend down Income limit of $885)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</si>
</sst>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5A2781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9"/>
      <color indexed="56"/>
      <name val="Calibri"/>
      <family val="2"/>
    </font>
    <font>
      <b/>
      <i/>
      <sz val="9"/>
      <color theme="3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DCF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thick">
        <color theme="4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/>
      <right/>
      <top style="double">
        <color theme="4"/>
      </top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theme="4"/>
      </bottom>
      <diagonal/>
    </border>
    <border>
      <left/>
      <right style="thin">
        <color auto="1"/>
      </right>
      <top/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theme="4"/>
      </bottom>
      <diagonal/>
    </border>
    <border>
      <left style="thin">
        <color auto="1"/>
      </left>
      <right/>
      <top/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double">
        <color theme="4"/>
      </bottom>
      <diagonal/>
    </border>
    <border>
      <left style="thin">
        <color auto="1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thin">
        <color auto="1"/>
      </right>
      <top/>
      <bottom style="double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double">
        <color theme="3" tint="0.39994506668294322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auto="1"/>
      </left>
      <right/>
      <top style="thin">
        <color auto="1"/>
      </top>
      <bottom style="double">
        <color theme="4" tint="-0.24994659260841701"/>
      </bottom>
      <diagonal/>
    </border>
    <border>
      <left/>
      <right/>
      <top style="thin">
        <color auto="1"/>
      </top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 tint="-0.2499465926084170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44" fontId="2" fillId="0" borderId="0" applyFont="0" applyFill="0" applyBorder="0" applyAlignment="0" applyProtection="0"/>
  </cellStyleXfs>
  <cellXfs count="216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right" vertical="center"/>
    </xf>
    <xf numFmtId="0" fontId="9" fillId="0" borderId="11" xfId="3" applyFont="1" applyBorder="1" applyProtection="1"/>
    <xf numFmtId="0" fontId="9" fillId="0" borderId="16" xfId="3" applyFont="1" applyBorder="1" applyProtection="1"/>
    <xf numFmtId="164" fontId="15" fillId="4" borderId="4" xfId="1" applyNumberFormat="1" applyFont="1" applyFill="1" applyBorder="1" applyAlignment="1" applyProtection="1">
      <alignment horizontal="right" vertical="center"/>
    </xf>
    <xf numFmtId="164" fontId="17" fillId="2" borderId="4" xfId="1" applyNumberFormat="1" applyFont="1" applyBorder="1" applyAlignment="1" applyProtection="1">
      <alignment horizontal="right" vertical="center"/>
    </xf>
    <xf numFmtId="164" fontId="15" fillId="4" borderId="19" xfId="1" applyNumberFormat="1" applyFont="1" applyFill="1" applyBorder="1" applyAlignment="1" applyProtection="1">
      <alignment horizontal="right" vertical="center"/>
    </xf>
    <xf numFmtId="0" fontId="9" fillId="0" borderId="0" xfId="3" applyFont="1" applyBorder="1" applyProtection="1"/>
    <xf numFmtId="164" fontId="11" fillId="4" borderId="4" xfId="4" applyNumberFormat="1" applyFont="1" applyFill="1" applyBorder="1" applyAlignment="1" applyProtection="1">
      <alignment horizontal="right" vertical="top"/>
    </xf>
    <xf numFmtId="164" fontId="11" fillId="4" borderId="27" xfId="4" applyNumberFormat="1" applyFont="1" applyFill="1" applyBorder="1" applyAlignment="1" applyProtection="1">
      <alignment horizontal="right" vertical="top"/>
    </xf>
    <xf numFmtId="164" fontId="11" fillId="4" borderId="19" xfId="4" applyNumberFormat="1" applyFont="1" applyFill="1" applyBorder="1" applyAlignment="1" applyProtection="1">
      <alignment horizontal="right"/>
    </xf>
    <xf numFmtId="0" fontId="6" fillId="4" borderId="6" xfId="0" applyFont="1" applyFill="1" applyBorder="1" applyAlignment="1" applyProtection="1">
      <alignment horizontal="right" vertical="center"/>
    </xf>
    <xf numFmtId="7" fontId="6" fillId="4" borderId="7" xfId="5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horizontal="center" vertical="center"/>
    </xf>
    <xf numFmtId="164" fontId="16" fillId="4" borderId="19" xfId="1" applyNumberFormat="1" applyFont="1" applyFill="1" applyBorder="1" applyAlignment="1" applyProtection="1">
      <alignment horizontal="right" vertical="center"/>
    </xf>
    <xf numFmtId="0" fontId="15" fillId="4" borderId="19" xfId="1" applyNumberFormat="1" applyFont="1" applyFill="1" applyBorder="1" applyAlignment="1" applyProtection="1">
      <alignment horizontal="right" vertical="center"/>
    </xf>
    <xf numFmtId="0" fontId="22" fillId="4" borderId="2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15" fillId="4" borderId="5" xfId="1" applyNumberFormat="1" applyFont="1" applyFill="1" applyBorder="1" applyAlignment="1" applyProtection="1">
      <alignment horizontal="right" vertical="center"/>
    </xf>
    <xf numFmtId="0" fontId="11" fillId="4" borderId="13" xfId="4" applyNumberFormat="1" applyFont="1" applyFill="1" applyBorder="1" applyAlignment="1" applyProtection="1">
      <alignment horizontal="right" vertical="top"/>
    </xf>
    <xf numFmtId="0" fontId="18" fillId="0" borderId="9" xfId="3" applyFont="1" applyBorder="1" applyProtection="1"/>
    <xf numFmtId="0" fontId="7" fillId="0" borderId="30" xfId="0" applyFont="1" applyBorder="1" applyAlignment="1">
      <alignment horizontal="center" vertical="center"/>
    </xf>
    <xf numFmtId="164" fontId="8" fillId="5" borderId="33" xfId="1" applyNumberFormat="1" applyFont="1" applyFill="1" applyBorder="1" applyAlignment="1" applyProtection="1">
      <alignment horizontal="left" vertical="top"/>
    </xf>
    <xf numFmtId="0" fontId="7" fillId="3" borderId="29" xfId="0" applyFont="1" applyFill="1" applyBorder="1" applyAlignment="1" applyProtection="1">
      <alignment horizontal="right" vertical="center"/>
    </xf>
    <xf numFmtId="0" fontId="9" fillId="0" borderId="9" xfId="3" applyFont="1" applyBorder="1" applyProtection="1"/>
    <xf numFmtId="164" fontId="26" fillId="4" borderId="4" xfId="1" applyNumberFormat="1" applyFont="1" applyFill="1" applyBorder="1" applyAlignment="1" applyProtection="1">
      <alignment horizontal="right" vertical="center"/>
    </xf>
    <xf numFmtId="0" fontId="11" fillId="3" borderId="23" xfId="0" applyFont="1" applyFill="1" applyBorder="1" applyAlignment="1" applyProtection="1">
      <alignment horizontal="center" vertical="center"/>
    </xf>
    <xf numFmtId="0" fontId="22" fillId="3" borderId="28" xfId="0" applyFont="1" applyFill="1" applyBorder="1" applyAlignment="1" applyProtection="1">
      <alignment horizontal="right" vertical="top" wrapText="1"/>
    </xf>
    <xf numFmtId="0" fontId="11" fillId="3" borderId="3" xfId="0" applyFont="1" applyFill="1" applyBorder="1" applyAlignment="1" applyProtection="1">
      <alignment horizontal="right" indent="1"/>
    </xf>
    <xf numFmtId="0" fontId="9" fillId="0" borderId="16" xfId="3" applyFont="1" applyBorder="1" applyProtection="1"/>
    <xf numFmtId="0" fontId="7" fillId="0" borderId="21" xfId="0" quotePrefix="1" applyFont="1" applyBorder="1" applyAlignment="1">
      <alignment horizontal="center" vertical="center"/>
    </xf>
    <xf numFmtId="0" fontId="10" fillId="4" borderId="3" xfId="0" applyFont="1" applyFill="1" applyBorder="1" applyAlignment="1" applyProtection="1">
      <alignment horizontal="center"/>
    </xf>
    <xf numFmtId="14" fontId="7" fillId="0" borderId="1" xfId="0" applyNumberFormat="1" applyFont="1" applyBorder="1" applyAlignment="1" applyProtection="1">
      <alignment horizontal="left"/>
      <protection locked="0"/>
    </xf>
    <xf numFmtId="164" fontId="21" fillId="4" borderId="4" xfId="4" applyNumberFormat="1" applyFont="1" applyFill="1" applyBorder="1" applyAlignment="1" applyProtection="1">
      <alignment horizontal="right" vertical="top"/>
    </xf>
    <xf numFmtId="164" fontId="16" fillId="4" borderId="4" xfId="1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center"/>
    </xf>
    <xf numFmtId="164" fontId="25" fillId="0" borderId="6" xfId="3" applyNumberFormat="1" applyFont="1" applyBorder="1" applyAlignment="1" applyProtection="1">
      <alignment horizontal="left" vertical="center"/>
    </xf>
    <xf numFmtId="0" fontId="25" fillId="0" borderId="1" xfId="3" applyFont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left" vertical="center"/>
    </xf>
    <xf numFmtId="0" fontId="9" fillId="0" borderId="9" xfId="3" applyFont="1" applyBorder="1" applyProtection="1"/>
    <xf numFmtId="0" fontId="9" fillId="0" borderId="16" xfId="3" applyFont="1" applyBorder="1" applyProtection="1"/>
    <xf numFmtId="0" fontId="7" fillId="0" borderId="3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2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5" fillId="0" borderId="0" xfId="3" applyFont="1" applyBorder="1" applyAlignment="1" applyProtection="1">
      <alignment vertical="top"/>
    </xf>
    <xf numFmtId="164" fontId="18" fillId="0" borderId="9" xfId="3" applyNumberFormat="1" applyFont="1" applyBorder="1" applyProtection="1"/>
    <xf numFmtId="164" fontId="11" fillId="4" borderId="4" xfId="4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top"/>
    </xf>
    <xf numFmtId="164" fontId="25" fillId="0" borderId="6" xfId="3" applyNumberFormat="1" applyFont="1" applyBorder="1" applyAlignment="1" applyProtection="1">
      <alignment horizontal="left" vertical="top" indent="1"/>
    </xf>
    <xf numFmtId="0" fontId="25" fillId="0" borderId="1" xfId="3" applyFont="1" applyBorder="1" applyAlignment="1" applyProtection="1">
      <alignment horizontal="right" vertical="top"/>
    </xf>
    <xf numFmtId="0" fontId="33" fillId="4" borderId="6" xfId="0" applyFont="1" applyFill="1" applyBorder="1" applyAlignment="1" applyProtection="1">
      <alignment horizontal="left" vertical="center"/>
    </xf>
    <xf numFmtId="164" fontId="35" fillId="4" borderId="4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164" fontId="35" fillId="4" borderId="4" xfId="1" applyNumberFormat="1" applyFont="1" applyFill="1" applyBorder="1" applyAlignment="1" applyProtection="1">
      <alignment horizontal="right"/>
    </xf>
    <xf numFmtId="164" fontId="16" fillId="4" borderId="4" xfId="1" applyNumberFormat="1" applyFont="1" applyFill="1" applyBorder="1" applyAlignment="1" applyProtection="1">
      <alignment horizontal="right"/>
    </xf>
    <xf numFmtId="0" fontId="36" fillId="4" borderId="2" xfId="0" applyFont="1" applyFill="1" applyBorder="1"/>
    <xf numFmtId="0" fontId="22" fillId="4" borderId="6" xfId="0" applyFont="1" applyFill="1" applyBorder="1" applyAlignment="1">
      <alignment horizontal="left" indent="1"/>
    </xf>
    <xf numFmtId="0" fontId="36" fillId="4" borderId="6" xfId="0" applyFont="1" applyFill="1" applyBorder="1"/>
    <xf numFmtId="0" fontId="36" fillId="4" borderId="7" xfId="0" applyFont="1" applyFill="1" applyBorder="1"/>
    <xf numFmtId="0" fontId="11" fillId="4" borderId="13" xfId="4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8" fillId="0" borderId="9" xfId="3" applyFont="1" applyBorder="1" applyProtection="1"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164" fontId="17" fillId="2" borderId="5" xfId="1" applyNumberFormat="1" applyFont="1" applyBorder="1" applyAlignment="1" applyProtection="1">
      <alignment vertical="center"/>
    </xf>
    <xf numFmtId="164" fontId="7" fillId="2" borderId="5" xfId="1" applyNumberFormat="1" applyFont="1" applyBorder="1" applyAlignment="1" applyProtection="1">
      <alignment vertical="center"/>
    </xf>
    <xf numFmtId="164" fontId="7" fillId="2" borderId="4" xfId="1" applyNumberFormat="1" applyFont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  <protection locked="0"/>
    </xf>
    <xf numFmtId="164" fontId="8" fillId="5" borderId="19" xfId="1" applyNumberFormat="1" applyFont="1" applyFill="1" applyBorder="1" applyAlignment="1" applyProtection="1">
      <alignment horizontal="right" vertical="center"/>
      <protection locked="0"/>
    </xf>
    <xf numFmtId="164" fontId="8" fillId="5" borderId="33" xfId="1" applyNumberFormat="1" applyFont="1" applyFill="1" applyBorder="1" applyAlignment="1" applyProtection="1">
      <alignment horizontal="right" vertical="top"/>
    </xf>
    <xf numFmtId="164" fontId="8" fillId="5" borderId="4" xfId="1" applyNumberFormat="1" applyFont="1" applyFill="1" applyBorder="1" applyAlignment="1" applyProtection="1">
      <alignment vertical="center"/>
      <protection locked="0"/>
    </xf>
    <xf numFmtId="164" fontId="8" fillId="5" borderId="37" xfId="1" applyNumberFormat="1" applyFont="1" applyFill="1" applyBorder="1" applyAlignment="1" applyProtection="1">
      <alignment vertical="center"/>
      <protection locked="0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0" fontId="15" fillId="4" borderId="4" xfId="1" applyNumberFormat="1" applyFont="1" applyFill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164" fontId="25" fillId="0" borderId="1" xfId="3" applyNumberFormat="1" applyFont="1" applyBorder="1" applyAlignment="1" applyProtection="1">
      <alignment horizontal="right" vertical="top" indent="1"/>
    </xf>
    <xf numFmtId="0" fontId="7" fillId="0" borderId="0" xfId="0" applyFont="1" applyAlignment="1">
      <alignment vertical="top"/>
    </xf>
    <xf numFmtId="0" fontId="7" fillId="0" borderId="23" xfId="0" applyFont="1" applyBorder="1"/>
    <xf numFmtId="164" fontId="25" fillId="0" borderId="23" xfId="3" applyNumberFormat="1" applyFont="1" applyBorder="1" applyAlignment="1" applyProtection="1">
      <alignment horizontal="right" vertical="center"/>
    </xf>
    <xf numFmtId="0" fontId="25" fillId="0" borderId="23" xfId="3" applyFont="1" applyBorder="1" applyAlignment="1" applyProtection="1">
      <alignment horizontal="right" vertical="center"/>
    </xf>
    <xf numFmtId="0" fontId="25" fillId="0" borderId="6" xfId="3" quotePrefix="1" applyFont="1" applyBorder="1" applyAlignment="1" applyProtection="1">
      <alignment vertical="top"/>
    </xf>
    <xf numFmtId="0" fontId="25" fillId="0" borderId="6" xfId="3" applyFont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horizontal="left" vertical="center"/>
    </xf>
    <xf numFmtId="164" fontId="25" fillId="0" borderId="1" xfId="3" applyNumberFormat="1" applyFont="1" applyFill="1" applyBorder="1" applyAlignment="1" applyProtection="1">
      <alignment horizontal="left" vertical="center"/>
    </xf>
    <xf numFmtId="164" fontId="25" fillId="0" borderId="6" xfId="3" applyNumberFormat="1" applyFont="1" applyFill="1" applyBorder="1" applyAlignment="1" applyProtection="1">
      <alignment horizontal="left" vertical="top" indent="1"/>
    </xf>
    <xf numFmtId="0" fontId="25" fillId="0" borderId="1" xfId="3" applyFont="1" applyFill="1" applyBorder="1" applyAlignment="1" applyProtection="1">
      <alignment horizontal="right" vertical="center"/>
    </xf>
    <xf numFmtId="0" fontId="9" fillId="0" borderId="9" xfId="3" applyFont="1" applyBorder="1" applyProtection="1"/>
    <xf numFmtId="0" fontId="9" fillId="0" borderId="16" xfId="3" applyFont="1" applyBorder="1" applyProtection="1"/>
    <xf numFmtId="164" fontId="25" fillId="0" borderId="1" xfId="3" applyNumberFormat="1" applyFont="1" applyBorder="1" applyAlignment="1" applyProtection="1">
      <alignment horizontal="left" vertical="top" indent="1"/>
    </xf>
    <xf numFmtId="0" fontId="22" fillId="4" borderId="2" xfId="0" applyFont="1" applyFill="1" applyBorder="1" applyAlignment="1">
      <alignment horizontal="left" indent="6"/>
    </xf>
    <xf numFmtId="0" fontId="22" fillId="4" borderId="6" xfId="0" applyFont="1" applyFill="1" applyBorder="1" applyAlignment="1">
      <alignment horizontal="left" indent="6"/>
    </xf>
    <xf numFmtId="0" fontId="22" fillId="4" borderId="7" xfId="0" applyFont="1" applyFill="1" applyBorder="1" applyAlignment="1">
      <alignment horizontal="left" indent="6"/>
    </xf>
    <xf numFmtId="0" fontId="22" fillId="4" borderId="2" xfId="0" applyFont="1" applyFill="1" applyBorder="1" applyAlignment="1" applyProtection="1">
      <alignment horizontal="left" vertical="center" indent="6"/>
    </xf>
    <xf numFmtId="0" fontId="22" fillId="4" borderId="6" xfId="0" applyFont="1" applyFill="1" applyBorder="1" applyAlignment="1" applyProtection="1">
      <alignment horizontal="left" vertical="center" indent="6"/>
    </xf>
    <xf numFmtId="0" fontId="22" fillId="4" borderId="7" xfId="0" applyFont="1" applyFill="1" applyBorder="1" applyAlignment="1" applyProtection="1">
      <alignment horizontal="left" vertical="center" indent="6"/>
    </xf>
    <xf numFmtId="0" fontId="11" fillId="4" borderId="2" xfId="0" applyFont="1" applyFill="1" applyBorder="1" applyAlignment="1" applyProtection="1">
      <alignment horizontal="left"/>
    </xf>
    <xf numFmtId="0" fontId="11" fillId="4" borderId="6" xfId="0" applyFont="1" applyFill="1" applyBorder="1" applyAlignment="1" applyProtection="1">
      <alignment horizontal="left"/>
    </xf>
    <xf numFmtId="0" fontId="11" fillId="4" borderId="7" xfId="0" applyFont="1" applyFill="1" applyBorder="1" applyAlignment="1" applyProtection="1">
      <alignment horizontal="left"/>
    </xf>
    <xf numFmtId="0" fontId="22" fillId="4" borderId="2" xfId="0" applyFont="1" applyFill="1" applyBorder="1" applyAlignment="1" applyProtection="1">
      <alignment horizontal="left" indent="6"/>
    </xf>
    <xf numFmtId="0" fontId="22" fillId="4" borderId="6" xfId="0" applyFont="1" applyFill="1" applyBorder="1" applyAlignment="1" applyProtection="1">
      <alignment horizontal="left" indent="6"/>
    </xf>
    <xf numFmtId="0" fontId="22" fillId="4" borderId="7" xfId="0" applyFont="1" applyFill="1" applyBorder="1" applyAlignment="1" applyProtection="1">
      <alignment horizontal="left" indent="6"/>
    </xf>
    <xf numFmtId="0" fontId="7" fillId="4" borderId="2" xfId="0" applyFont="1" applyFill="1" applyBorder="1" applyAlignment="1" applyProtection="1">
      <alignment horizontal="left" vertical="center" indent="4"/>
    </xf>
    <xf numFmtId="0" fontId="7" fillId="4" borderId="6" xfId="0" applyFont="1" applyFill="1" applyBorder="1" applyAlignment="1" applyProtection="1">
      <alignment horizontal="left" vertical="center" indent="4"/>
    </xf>
    <xf numFmtId="0" fontId="7" fillId="4" borderId="7" xfId="0" applyFont="1" applyFill="1" applyBorder="1" applyAlignment="1" applyProtection="1">
      <alignment horizontal="left" vertical="center" indent="4"/>
    </xf>
    <xf numFmtId="0" fontId="34" fillId="0" borderId="2" xfId="0" applyFont="1" applyFill="1" applyBorder="1" applyAlignment="1" applyProtection="1">
      <alignment horizontal="left" vertical="center"/>
    </xf>
    <xf numFmtId="0" fontId="34" fillId="0" borderId="6" xfId="0" applyFont="1" applyFill="1" applyBorder="1" applyAlignment="1" applyProtection="1">
      <alignment horizontal="left" vertical="center"/>
    </xf>
    <xf numFmtId="0" fontId="34" fillId="0" borderId="7" xfId="0" applyFont="1" applyFill="1" applyBorder="1" applyAlignment="1" applyProtection="1">
      <alignment horizontal="left" vertical="center"/>
    </xf>
    <xf numFmtId="0" fontId="9" fillId="0" borderId="9" xfId="3" applyFont="1" applyBorder="1" applyProtection="1"/>
    <xf numFmtId="0" fontId="34" fillId="0" borderId="21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vertical="center"/>
    </xf>
    <xf numFmtId="0" fontId="10" fillId="4" borderId="6" xfId="0" applyFont="1" applyFill="1" applyBorder="1" applyAlignment="1" applyProtection="1">
      <alignment horizontal="right" vertical="center" indent="2"/>
    </xf>
    <xf numFmtId="0" fontId="10" fillId="4" borderId="7" xfId="0" applyFont="1" applyFill="1" applyBorder="1" applyAlignment="1" applyProtection="1">
      <alignment horizontal="right" vertical="center" indent="2"/>
    </xf>
    <xf numFmtId="0" fontId="11" fillId="3" borderId="23" xfId="0" applyFont="1" applyFill="1" applyBorder="1" applyAlignment="1" applyProtection="1">
      <alignment horizontal="right" vertical="center" indent="1"/>
    </xf>
    <xf numFmtId="0" fontId="11" fillId="3" borderId="24" xfId="0" applyFont="1" applyFill="1" applyBorder="1" applyAlignment="1" applyProtection="1">
      <alignment horizontal="right" vertical="center" indent="1"/>
    </xf>
    <xf numFmtId="0" fontId="7" fillId="4" borderId="6" xfId="0" applyFont="1" applyFill="1" applyBorder="1" applyAlignment="1" applyProtection="1">
      <alignment horizontal="left" vertical="center"/>
    </xf>
    <xf numFmtId="0" fontId="7" fillId="4" borderId="7" xfId="0" applyFont="1" applyFill="1" applyBorder="1" applyAlignment="1" applyProtection="1">
      <alignment horizontal="left" vertical="center"/>
    </xf>
    <xf numFmtId="0" fontId="25" fillId="0" borderId="14" xfId="3" applyFont="1" applyBorder="1" applyAlignment="1" applyProtection="1">
      <alignment vertical="top" wrapText="1"/>
    </xf>
    <xf numFmtId="0" fontId="9" fillId="0" borderId="16" xfId="3" applyFont="1" applyBorder="1" applyProtection="1"/>
    <xf numFmtId="0" fontId="10" fillId="4" borderId="6" xfId="0" applyFont="1" applyFill="1" applyBorder="1" applyAlignment="1" applyProtection="1">
      <alignment horizontal="left" vertical="center"/>
    </xf>
    <xf numFmtId="0" fontId="10" fillId="4" borderId="7" xfId="0" applyFont="1" applyFill="1" applyBorder="1" applyAlignment="1" applyProtection="1">
      <alignment horizontal="left" vertical="center"/>
    </xf>
    <xf numFmtId="0" fontId="16" fillId="3" borderId="17" xfId="0" applyFont="1" applyFill="1" applyBorder="1" applyAlignment="1" applyProtection="1">
      <alignment horizontal="right" vertical="center" indent="1"/>
    </xf>
    <xf numFmtId="0" fontId="16" fillId="3" borderId="25" xfId="0" applyFont="1" applyFill="1" applyBorder="1" applyAlignment="1" applyProtection="1">
      <alignment horizontal="right" vertical="center" indent="1"/>
    </xf>
    <xf numFmtId="0" fontId="22" fillId="4" borderId="1" xfId="0" applyFont="1" applyFill="1" applyBorder="1" applyAlignment="1" applyProtection="1">
      <alignment horizontal="left" vertical="top" indent="1"/>
    </xf>
    <xf numFmtId="0" fontId="22" fillId="4" borderId="20" xfId="0" applyFont="1" applyFill="1" applyBorder="1" applyAlignment="1" applyProtection="1">
      <alignment horizontal="left" vertical="top" indent="1"/>
    </xf>
    <xf numFmtId="0" fontId="10" fillId="4" borderId="23" xfId="0" applyFont="1" applyFill="1" applyBorder="1" applyAlignment="1" applyProtection="1">
      <alignment horizontal="left"/>
    </xf>
    <xf numFmtId="0" fontId="10" fillId="4" borderId="24" xfId="0" applyFont="1" applyFill="1" applyBorder="1" applyAlignment="1" applyProtection="1">
      <alignment horizontal="left"/>
    </xf>
    <xf numFmtId="0" fontId="7" fillId="0" borderId="14" xfId="0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vertical="center"/>
    </xf>
    <xf numFmtId="0" fontId="7" fillId="2" borderId="14" xfId="1" applyFont="1" applyBorder="1" applyAlignment="1" applyProtection="1">
      <alignment horizontal="left" vertical="center"/>
    </xf>
    <xf numFmtId="0" fontId="7" fillId="2" borderId="15" xfId="1" applyFont="1" applyBorder="1" applyAlignment="1" applyProtection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horizontal="left" vertical="center" indent="4"/>
    </xf>
    <xf numFmtId="0" fontId="7" fillId="2" borderId="14" xfId="1" applyFont="1" applyBorder="1" applyAlignment="1" applyProtection="1">
      <alignment horizontal="left"/>
    </xf>
    <xf numFmtId="0" fontId="7" fillId="2" borderId="15" xfId="1" applyFont="1" applyBorder="1" applyAlignment="1" applyProtection="1">
      <alignment horizontal="left"/>
    </xf>
    <xf numFmtId="0" fontId="22" fillId="3" borderId="12" xfId="0" applyFont="1" applyFill="1" applyBorder="1" applyAlignment="1" applyProtection="1">
      <alignment horizontal="right" vertical="center" wrapText="1"/>
    </xf>
    <xf numFmtId="0" fontId="22" fillId="3" borderId="26" xfId="0" applyFont="1" applyFill="1" applyBorder="1" applyAlignment="1" applyProtection="1">
      <alignment horizontal="right" vertical="center" wrapText="1"/>
    </xf>
    <xf numFmtId="0" fontId="11" fillId="3" borderId="23" xfId="0" applyFont="1" applyFill="1" applyBorder="1" applyAlignment="1" applyProtection="1">
      <alignment horizontal="right" indent="1"/>
    </xf>
    <xf numFmtId="0" fontId="11" fillId="3" borderId="24" xfId="0" applyFont="1" applyFill="1" applyBorder="1" applyAlignment="1" applyProtection="1">
      <alignment horizontal="right" indent="1"/>
    </xf>
    <xf numFmtId="0" fontId="28" fillId="3" borderId="23" xfId="0" applyFont="1" applyFill="1" applyBorder="1" applyAlignment="1" applyProtection="1">
      <alignment horizontal="left" vertical="center" wrapText="1" indent="1"/>
    </xf>
    <xf numFmtId="0" fontId="28" fillId="3" borderId="12" xfId="0" applyFont="1" applyFill="1" applyBorder="1" applyAlignment="1" applyProtection="1">
      <alignment horizontal="left" vertical="center" wrapText="1" indent="1"/>
    </xf>
    <xf numFmtId="0" fontId="7" fillId="0" borderId="23" xfId="0" applyFont="1" applyFill="1" applyBorder="1" applyAlignment="1" applyProtection="1">
      <alignment vertical="center" wrapText="1"/>
    </xf>
    <xf numFmtId="0" fontId="7" fillId="0" borderId="24" xfId="0" applyFont="1" applyFill="1" applyBorder="1" applyAlignment="1" applyProtection="1">
      <alignment vertical="center" wrapText="1"/>
    </xf>
    <xf numFmtId="0" fontId="7" fillId="0" borderId="31" xfId="0" applyFont="1" applyFill="1" applyBorder="1" applyAlignment="1" applyProtection="1">
      <alignment vertical="center" wrapText="1"/>
    </xf>
    <xf numFmtId="0" fontId="7" fillId="0" borderId="32" xfId="0" applyFont="1" applyFill="1" applyBorder="1" applyAlignment="1" applyProtection="1">
      <alignment vertical="center" wrapText="1"/>
    </xf>
    <xf numFmtId="0" fontId="12" fillId="0" borderId="18" xfId="2" applyFont="1" applyBorder="1" applyAlignment="1">
      <alignment horizontal="center" vertical="center"/>
    </xf>
    <xf numFmtId="0" fontId="7" fillId="0" borderId="0" xfId="0" applyFont="1" applyAlignment="1" applyProtection="1">
      <alignment horizontal="right" wrapText="1" indent="1"/>
    </xf>
    <xf numFmtId="0" fontId="7" fillId="0" borderId="0" xfId="0" applyFont="1" applyAlignment="1" applyProtection="1">
      <alignment horizontal="right" indent="1"/>
    </xf>
    <xf numFmtId="0" fontId="2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31" fillId="0" borderId="34" xfId="2" applyFont="1" applyBorder="1" applyAlignment="1">
      <alignment horizontal="left" vertical="center"/>
    </xf>
    <xf numFmtId="0" fontId="32" fillId="0" borderId="34" xfId="2" applyFont="1" applyBorder="1" applyAlignment="1">
      <alignment horizontal="left" vertical="center"/>
    </xf>
    <xf numFmtId="0" fontId="25" fillId="0" borderId="14" xfId="3" applyFont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/>
    </xf>
    <xf numFmtId="0" fontId="7" fillId="0" borderId="36" xfId="0" applyFont="1" applyFill="1" applyBorder="1" applyAlignment="1" applyProtection="1">
      <alignment vertical="center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164" fontId="8" fillId="5" borderId="33" xfId="1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30" fillId="0" borderId="34" xfId="2" applyFont="1" applyBorder="1" applyAlignment="1">
      <alignment horizontal="center" wrapText="1"/>
    </xf>
    <xf numFmtId="0" fontId="29" fillId="0" borderId="34" xfId="2" applyFont="1" applyBorder="1" applyAlignment="1">
      <alignment horizontal="center" wrapText="1"/>
    </xf>
    <xf numFmtId="0" fontId="30" fillId="0" borderId="18" xfId="2" applyFont="1" applyBorder="1" applyAlignment="1">
      <alignment horizontal="center" vertical="top" wrapText="1"/>
    </xf>
    <xf numFmtId="0" fontId="29" fillId="0" borderId="18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/>
    </xf>
    <xf numFmtId="0" fontId="7" fillId="4" borderId="3" xfId="0" applyFont="1" applyFill="1" applyBorder="1" applyAlignment="1" applyProtection="1">
      <alignment horizontal="left" vertical="center" indent="4"/>
    </xf>
    <xf numFmtId="0" fontId="7" fillId="4" borderId="23" xfId="0" applyFont="1" applyFill="1" applyBorder="1" applyAlignment="1" applyProtection="1">
      <alignment horizontal="left" vertical="center" indent="4"/>
    </xf>
    <xf numFmtId="0" fontId="7" fillId="4" borderId="24" xfId="0" applyFont="1" applyFill="1" applyBorder="1" applyAlignment="1" applyProtection="1">
      <alignment horizontal="left" vertical="center" indent="4"/>
    </xf>
    <xf numFmtId="0" fontId="34" fillId="0" borderId="6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indent="4"/>
    </xf>
    <xf numFmtId="0" fontId="11" fillId="4" borderId="6" xfId="0" applyFont="1" applyFill="1" applyBorder="1" applyAlignment="1" applyProtection="1">
      <alignment horizontal="left" vertical="center" indent="4"/>
    </xf>
    <xf numFmtId="0" fontId="11" fillId="4" borderId="7" xfId="0" applyFont="1" applyFill="1" applyBorder="1" applyAlignment="1" applyProtection="1">
      <alignment horizontal="left" vertical="center" indent="4"/>
    </xf>
    <xf numFmtId="0" fontId="17" fillId="0" borderId="14" xfId="0" applyFont="1" applyFill="1" applyBorder="1" applyAlignment="1" applyProtection="1">
      <alignment horizontal="left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 applyProtection="1">
      <alignment horizontal="right" vertical="center" indent="1"/>
      <protection locked="0"/>
    </xf>
    <xf numFmtId="0" fontId="9" fillId="0" borderId="9" xfId="3" applyFont="1" applyBorder="1" applyProtection="1">
      <protection locked="0"/>
    </xf>
    <xf numFmtId="0" fontId="22" fillId="3" borderId="12" xfId="0" applyFont="1" applyFill="1" applyBorder="1" applyAlignment="1" applyProtection="1">
      <alignment horizontal="right" wrapText="1"/>
    </xf>
    <xf numFmtId="0" fontId="22" fillId="3" borderId="26" xfId="0" applyFont="1" applyFill="1" applyBorder="1" applyAlignment="1" applyProtection="1">
      <alignment horizontal="right" wrapText="1"/>
    </xf>
    <xf numFmtId="0" fontId="7" fillId="2" borderId="6" xfId="1" applyFont="1" applyBorder="1" applyAlignment="1" applyProtection="1">
      <alignment horizontal="left" vertical="center"/>
    </xf>
    <xf numFmtId="0" fontId="7" fillId="2" borderId="7" xfId="1" applyFont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vertical="top" wrapText="1"/>
    </xf>
    <xf numFmtId="0" fontId="7" fillId="0" borderId="24" xfId="0" applyFont="1" applyFill="1" applyBorder="1" applyAlignment="1" applyProtection="1">
      <alignment vertical="top" wrapText="1"/>
    </xf>
    <xf numFmtId="0" fontId="7" fillId="0" borderId="31" xfId="0" applyFont="1" applyFill="1" applyBorder="1" applyAlignment="1" applyProtection="1">
      <alignment vertical="top" wrapText="1"/>
    </xf>
    <xf numFmtId="0" fontId="7" fillId="0" borderId="32" xfId="0" applyFont="1" applyFill="1" applyBorder="1" applyAlignment="1" applyProtection="1">
      <alignment vertical="top" wrapText="1"/>
    </xf>
    <xf numFmtId="0" fontId="7" fillId="2" borderId="6" xfId="1" applyFont="1" applyBorder="1" applyAlignment="1" applyProtection="1">
      <alignment horizontal="left"/>
    </xf>
    <xf numFmtId="0" fontId="7" fillId="2" borderId="7" xfId="1" applyFont="1" applyBorder="1" applyAlignment="1" applyProtection="1">
      <alignment horizontal="left"/>
    </xf>
    <xf numFmtId="0" fontId="22" fillId="2" borderId="2" xfId="1" applyFont="1" applyBorder="1" applyAlignment="1" applyProtection="1">
      <alignment horizontal="left" vertical="center" indent="5"/>
    </xf>
    <xf numFmtId="0" fontId="22" fillId="2" borderId="6" xfId="1" applyFont="1" applyBorder="1" applyAlignment="1" applyProtection="1">
      <alignment horizontal="left" vertical="center" indent="5"/>
    </xf>
    <xf numFmtId="0" fontId="22" fillId="2" borderId="7" xfId="1" applyFont="1" applyBorder="1" applyAlignment="1" applyProtection="1">
      <alignment horizontal="left" vertical="center" indent="5"/>
    </xf>
    <xf numFmtId="0" fontId="31" fillId="0" borderId="34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top"/>
    </xf>
  </cellXfs>
  <cellStyles count="6">
    <cellStyle name="20% - Accent1" xfId="1" builtinId="30"/>
    <cellStyle name="Currency" xfId="5" builtinId="4"/>
    <cellStyle name="Heading 1" xfId="2" builtinId="16"/>
    <cellStyle name="Heading 2" xfId="3" builtinId="17"/>
    <cellStyle name="Normal" xfId="0" builtinId="0"/>
    <cellStyle name="Total" xfId="4" builtinId="25"/>
  </cellStyles>
  <dxfs count="0"/>
  <tableStyles count="0" defaultTableStyle="TableStyleMedium9" defaultPivotStyle="PivotStyleLight16"/>
  <colors>
    <mruColors>
      <color rgb="FFECDCFC"/>
      <color rgb="FFE2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/>
        <xdr:cNvSpPr txBox="1"/>
      </xdr:nvSpPr>
      <xdr:spPr>
        <a:xfrm>
          <a:off x="4545002" y="742951"/>
          <a:ext cx="1406977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1774247</xdr:colOff>
      <xdr:row>3</xdr:row>
      <xdr:rowOff>117430</xdr:rowOff>
    </xdr:from>
    <xdr:to>
      <xdr:col>5</xdr:col>
      <xdr:colOff>740</xdr:colOff>
      <xdr:row>5</xdr:row>
      <xdr:rowOff>216477</xdr:rowOff>
    </xdr:to>
    <xdr:sp macro="" textlink="">
      <xdr:nvSpPr>
        <xdr:cNvPr id="2" name="TextBox 1"/>
        <xdr:cNvSpPr txBox="1"/>
      </xdr:nvSpPr>
      <xdr:spPr>
        <a:xfrm>
          <a:off x="4995429" y="784180"/>
          <a:ext cx="1265834" cy="57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  <a:endParaRPr lang="en-US" sz="700" baseline="0">
            <a:latin typeface="Arial" pitchFamily="34" charset="0"/>
            <a:cs typeface="Arial" pitchFamily="34" charset="0"/>
          </a:endParaRP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 Department of 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>
              <a:latin typeface="Arial" pitchFamily="34" charset="0"/>
              <a:cs typeface="Arial" pitchFamily="34" charset="0"/>
            </a:rPr>
            <a:t>573-751-0342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3</xdr:row>
      <xdr:rowOff>173182</xdr:rowOff>
    </xdr:from>
    <xdr:ext cx="1870364" cy="614795"/>
    <xdr:sp macro="" textlink="">
      <xdr:nvSpPr>
        <xdr:cNvPr id="2" name="Rectangle 1"/>
        <xdr:cNvSpPr/>
      </xdr:nvSpPr>
      <xdr:spPr>
        <a:xfrm>
          <a:off x="4736522" y="868507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3</xdr:row>
      <xdr:rowOff>103909</xdr:rowOff>
    </xdr:from>
    <xdr:ext cx="1388346" cy="1151659"/>
    <xdr:sp macro="" textlink="">
      <xdr:nvSpPr>
        <xdr:cNvPr id="3" name="TextBox 2"/>
        <xdr:cNvSpPr txBox="1"/>
      </xdr:nvSpPr>
      <xdr:spPr>
        <a:xfrm>
          <a:off x="5454361" y="799234"/>
          <a:ext cx="1388346" cy="115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A62"/>
  <sheetViews>
    <sheetView showGridLines="0" tabSelected="1" view="pageLayout" zoomScaleNormal="110" zoomScaleSheetLayoutView="90" workbookViewId="0">
      <selection activeCell="C5" sqref="C5:D5"/>
    </sheetView>
  </sheetViews>
  <sheetFormatPr defaultColWidth="8.85546875" defaultRowHeight="15" x14ac:dyDescent="0.25"/>
  <cols>
    <col min="1" max="1" width="4.42578125" customWidth="1"/>
    <col min="2" max="2" width="21.42578125" customWidth="1"/>
    <col min="3" max="3" width="16.7109375" customWidth="1"/>
    <col min="4" max="4" width="26" customWidth="1"/>
    <col min="5" max="5" width="15.7109375" customWidth="1"/>
  </cols>
  <sheetData>
    <row r="1" spans="1:5" ht="21.75" customHeight="1" thickBot="1" x14ac:dyDescent="0.3">
      <c r="A1" s="159" t="s">
        <v>49</v>
      </c>
      <c r="B1" s="159"/>
      <c r="C1" s="159"/>
      <c r="D1" s="159"/>
      <c r="E1" s="159"/>
    </row>
    <row r="2" spans="1:5" ht="21.75" customHeight="1" thickTop="1" thickBot="1" x14ac:dyDescent="0.3">
      <c r="A2" s="162" t="s">
        <v>117</v>
      </c>
      <c r="B2" s="163"/>
      <c r="C2" s="163"/>
      <c r="D2" s="163"/>
      <c r="E2" s="163"/>
    </row>
    <row r="3" spans="1:5" ht="16.5" customHeight="1" thickTop="1" x14ac:dyDescent="0.25">
      <c r="A3" s="166" t="s">
        <v>114</v>
      </c>
      <c r="B3" s="167"/>
      <c r="C3" s="167"/>
      <c r="D3" s="167"/>
      <c r="E3" s="167"/>
    </row>
    <row r="4" spans="1:5" ht="15.75" customHeight="1" x14ac:dyDescent="0.25">
      <c r="A4" s="161" t="s">
        <v>0</v>
      </c>
      <c r="B4" s="161"/>
      <c r="C4" s="41" t="s">
        <v>85</v>
      </c>
      <c r="D4" s="4"/>
      <c r="E4" s="3"/>
    </row>
    <row r="5" spans="1:5" ht="21.75" customHeight="1" x14ac:dyDescent="0.25">
      <c r="A5" s="161" t="s">
        <v>1</v>
      </c>
      <c r="B5" s="161"/>
      <c r="C5" s="164" t="s">
        <v>85</v>
      </c>
      <c r="D5" s="164"/>
      <c r="E5" s="3"/>
    </row>
    <row r="6" spans="1:5" s="2" customFormat="1" ht="24" customHeight="1" x14ac:dyDescent="0.25">
      <c r="A6" s="160" t="s">
        <v>2</v>
      </c>
      <c r="B6" s="160"/>
      <c r="C6" s="165"/>
      <c r="D6" s="165"/>
      <c r="E6" s="5"/>
    </row>
    <row r="7" spans="1:5" s="2" customFormat="1" ht="20.25" customHeight="1" x14ac:dyDescent="0.25">
      <c r="A7" s="143" t="s">
        <v>38</v>
      </c>
      <c r="B7" s="143"/>
      <c r="C7" s="143"/>
      <c r="D7" s="143"/>
      <c r="E7" s="143"/>
    </row>
    <row r="8" spans="1:5" ht="23.25" customHeight="1" thickBot="1" x14ac:dyDescent="0.3">
      <c r="A8" s="146" t="s">
        <v>3</v>
      </c>
      <c r="B8" s="146"/>
      <c r="C8" s="146"/>
      <c r="D8" s="146"/>
      <c r="E8" s="146"/>
    </row>
    <row r="9" spans="1:5" ht="36" customHeight="1" thickTop="1" thickBot="1" x14ac:dyDescent="0.3">
      <c r="A9" s="130" t="s">
        <v>40</v>
      </c>
      <c r="B9" s="130"/>
      <c r="C9" s="130"/>
      <c r="D9" s="130"/>
      <c r="E9" s="12"/>
    </row>
    <row r="10" spans="1:5" s="8" customFormat="1" ht="18" customHeight="1" thickTop="1" x14ac:dyDescent="0.25">
      <c r="A10" s="7" t="s">
        <v>4</v>
      </c>
      <c r="B10" s="144" t="s">
        <v>50</v>
      </c>
      <c r="C10" s="144"/>
      <c r="D10" s="145"/>
      <c r="E10" s="77">
        <v>0</v>
      </c>
    </row>
    <row r="11" spans="1:5" s="8" customFormat="1" ht="18" customHeight="1" x14ac:dyDescent="0.25">
      <c r="A11" s="7" t="s">
        <v>5</v>
      </c>
      <c r="B11" s="144" t="s">
        <v>15</v>
      </c>
      <c r="C11" s="144"/>
      <c r="D11" s="145"/>
      <c r="E11" s="77">
        <v>0</v>
      </c>
    </row>
    <row r="12" spans="1:5" s="8" customFormat="1" ht="18" customHeight="1" x14ac:dyDescent="0.25">
      <c r="A12" s="7" t="s">
        <v>6</v>
      </c>
      <c r="B12" s="144" t="s">
        <v>16</v>
      </c>
      <c r="C12" s="144"/>
      <c r="D12" s="145"/>
      <c r="E12" s="77">
        <v>0</v>
      </c>
    </row>
    <row r="13" spans="1:5" s="8" customFormat="1" ht="18" customHeight="1" x14ac:dyDescent="0.25">
      <c r="A13" s="7" t="s">
        <v>7</v>
      </c>
      <c r="B13" s="155" t="s">
        <v>99</v>
      </c>
      <c r="C13" s="155"/>
      <c r="D13" s="156"/>
      <c r="E13" s="78">
        <v>0</v>
      </c>
    </row>
    <row r="14" spans="1:5" s="8" customFormat="1" ht="18" customHeight="1" thickBot="1" x14ac:dyDescent="0.3">
      <c r="A14" s="30"/>
      <c r="B14" s="157"/>
      <c r="C14" s="157"/>
      <c r="D14" s="158"/>
      <c r="E14" s="79"/>
    </row>
    <row r="15" spans="1:5" s="8" customFormat="1" ht="36" customHeight="1" thickTop="1" thickBot="1" x14ac:dyDescent="0.3">
      <c r="A15" s="118" t="s">
        <v>43</v>
      </c>
      <c r="B15" s="118"/>
      <c r="C15" s="118"/>
      <c r="D15" s="118"/>
      <c r="E15" s="29"/>
    </row>
    <row r="16" spans="1:5" ht="18" customHeight="1" thickTop="1" x14ac:dyDescent="0.25">
      <c r="A16" s="9" t="s">
        <v>8</v>
      </c>
      <c r="B16" s="147" t="s">
        <v>39</v>
      </c>
      <c r="C16" s="147"/>
      <c r="D16" s="148"/>
      <c r="E16" s="14">
        <f xml:space="preserve"> E10+E11</f>
        <v>0</v>
      </c>
    </row>
    <row r="17" spans="1:105" ht="18" customHeight="1" x14ac:dyDescent="0.25">
      <c r="A17" s="9" t="s">
        <v>9</v>
      </c>
      <c r="B17" s="127" t="s">
        <v>42</v>
      </c>
      <c r="C17" s="127"/>
      <c r="D17" s="128"/>
      <c r="E17" s="13">
        <f>IF(E16&gt;0,20,0)</f>
        <v>0</v>
      </c>
    </row>
    <row r="18" spans="1:105" ht="20.100000000000001" customHeight="1" x14ac:dyDescent="0.25">
      <c r="A18" s="9" t="s">
        <v>10</v>
      </c>
      <c r="B18" s="127" t="s">
        <v>97</v>
      </c>
      <c r="C18" s="127"/>
      <c r="D18" s="128"/>
      <c r="E18" s="17">
        <f>IF(E16&gt;0,IF((E16-(E12+E13+E17))&gt;0,E16-(E12+E13+E17),0),0)</f>
        <v>0</v>
      </c>
    </row>
    <row r="19" spans="1:105" ht="19.5" customHeight="1" x14ac:dyDescent="0.25">
      <c r="A19" s="37"/>
      <c r="B19" s="153" t="s">
        <v>85</v>
      </c>
      <c r="C19" s="151" t="s">
        <v>47</v>
      </c>
      <c r="D19" s="152"/>
      <c r="E19" s="19">
        <f>ROUNDDOWN(IF(E18-D32&gt;0,E18-D32,0),0)</f>
        <v>0</v>
      </c>
    </row>
    <row r="20" spans="1:105" ht="25.5" customHeight="1" thickBot="1" x14ac:dyDescent="0.3">
      <c r="A20" s="36"/>
      <c r="B20" s="154"/>
      <c r="C20" s="149" t="s">
        <v>124</v>
      </c>
      <c r="D20" s="150"/>
      <c r="E20" s="18"/>
    </row>
    <row r="21" spans="1:105" ht="36" customHeight="1" thickTop="1" thickBot="1" x14ac:dyDescent="0.3">
      <c r="A21" s="130" t="s">
        <v>44</v>
      </c>
      <c r="B21" s="130"/>
      <c r="C21" s="130"/>
      <c r="D21" s="130"/>
      <c r="E21" s="3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</row>
    <row r="22" spans="1:105" ht="21.75" customHeight="1" thickTop="1" x14ac:dyDescent="0.25">
      <c r="A22" s="39" t="s">
        <v>11</v>
      </c>
      <c r="B22" s="139" t="s">
        <v>110</v>
      </c>
      <c r="C22" s="139"/>
      <c r="D22" s="140"/>
      <c r="E22" s="77"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21.75" customHeight="1" thickBot="1" x14ac:dyDescent="0.3">
      <c r="A23" s="6" t="s">
        <v>12</v>
      </c>
      <c r="B23" s="122" t="s">
        <v>111</v>
      </c>
      <c r="C23" s="122"/>
      <c r="D23" s="122"/>
      <c r="E23" s="77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s="1" customFormat="1" ht="36" customHeight="1" thickTop="1" thickBot="1" x14ac:dyDescent="0.3">
      <c r="A24" s="130" t="s">
        <v>45</v>
      </c>
      <c r="B24" s="130"/>
      <c r="C24" s="130"/>
      <c r="D24" s="130"/>
      <c r="E24" s="1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18" customHeight="1" thickTop="1" x14ac:dyDescent="0.25">
      <c r="A25" s="9" t="s">
        <v>13</v>
      </c>
      <c r="B25" s="141" t="s">
        <v>41</v>
      </c>
      <c r="C25" s="141"/>
      <c r="D25" s="142"/>
      <c r="E25" s="14">
        <f>IF((E22+E23)&gt;0,E10+E11,0)</f>
        <v>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6.5" customHeight="1" x14ac:dyDescent="0.25">
      <c r="A26" s="9" t="s">
        <v>14</v>
      </c>
      <c r="B26" s="127" t="s">
        <v>42</v>
      </c>
      <c r="C26" s="127"/>
      <c r="D26" s="128"/>
      <c r="E26" s="13">
        <f>IF((E22+E23)&gt;0,20,0)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" customHeight="1" x14ac:dyDescent="0.25">
      <c r="A27" s="9" t="s">
        <v>18</v>
      </c>
      <c r="B27" s="127" t="s">
        <v>17</v>
      </c>
      <c r="C27" s="127"/>
      <c r="D27" s="128"/>
      <c r="E27" s="14">
        <f>IF(E22+E23=0,0,(IF(E10&gt;50,50,E10)))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6.5" customHeight="1" x14ac:dyDescent="0.25">
      <c r="A28" s="9" t="s">
        <v>19</v>
      </c>
      <c r="B28" s="127" t="s">
        <v>23</v>
      </c>
      <c r="C28" s="127"/>
      <c r="D28" s="128"/>
      <c r="E28" s="13">
        <f>IF(E12&gt;75,E12,IF(E12&gt;0,75,0))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8" customHeight="1" x14ac:dyDescent="0.25">
      <c r="A29" s="9" t="s">
        <v>20</v>
      </c>
      <c r="B29" s="127" t="s">
        <v>100</v>
      </c>
      <c r="C29" s="127"/>
      <c r="D29" s="128"/>
      <c r="E29" s="13">
        <f>E13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20.25" customHeight="1" x14ac:dyDescent="0.25">
      <c r="A30" s="9" t="s">
        <v>25</v>
      </c>
      <c r="B30" s="127" t="s">
        <v>24</v>
      </c>
      <c r="C30" s="127"/>
      <c r="D30" s="128"/>
      <c r="E30" s="13">
        <f>IF(E22+E23&gt;0,(E22+E23)/2,0)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20.25" customHeight="1" x14ac:dyDescent="0.25">
      <c r="A31" s="22" t="s">
        <v>28</v>
      </c>
      <c r="B31" s="131" t="s">
        <v>46</v>
      </c>
      <c r="C31" s="131"/>
      <c r="D31" s="132"/>
      <c r="E31" s="43">
        <f>IF((E10+E11)-(E26+E27+E28+E29+E30)&gt;0,(E10+E11)-(E26+E27+E28+E29+E30),0)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ht="18" customHeight="1" x14ac:dyDescent="0.25">
      <c r="A32" s="25"/>
      <c r="B32" s="60" t="s">
        <v>93</v>
      </c>
      <c r="C32" s="20" t="s">
        <v>22</v>
      </c>
      <c r="D32" s="21">
        <v>885</v>
      </c>
      <c r="E32" s="83" t="str">
        <f>IF((E22+E23)&gt;0,IF(E31&gt;D32,"Ineligible","Eligible")," Ineligible")</f>
        <v xml:space="preserve"> Ineligible</v>
      </c>
    </row>
    <row r="33" spans="1:5" ht="21.75" customHeight="1" x14ac:dyDescent="0.25">
      <c r="A33" s="40" t="s">
        <v>29</v>
      </c>
      <c r="B33" s="137" t="s">
        <v>26</v>
      </c>
      <c r="C33" s="137"/>
      <c r="D33" s="138"/>
      <c r="E33" s="23">
        <f>IF((E22+E23)&gt;0,E23+E10+E11,0)</f>
        <v>0</v>
      </c>
    </row>
    <row r="34" spans="1:5" ht="15.75" customHeight="1" x14ac:dyDescent="0.25">
      <c r="A34" s="26"/>
      <c r="B34" s="135" t="s">
        <v>27</v>
      </c>
      <c r="C34" s="135"/>
      <c r="D34" s="136"/>
      <c r="E34" s="27"/>
    </row>
    <row r="35" spans="1:5" ht="15.75" customHeight="1" x14ac:dyDescent="0.25">
      <c r="A35" s="25"/>
      <c r="B35" s="60" t="s">
        <v>31</v>
      </c>
      <c r="C35" s="20" t="s">
        <v>32</v>
      </c>
      <c r="D35" s="21">
        <v>3123</v>
      </c>
      <c r="E35" s="24" t="str">
        <f>IF((E22+E23)&gt;0,IF(E33&gt;D35,"Ineligible","Eligible"),"Ineligible ")</f>
        <v xml:space="preserve">Ineligible </v>
      </c>
    </row>
    <row r="36" spans="1:5" ht="15.75" customHeight="1" thickBot="1" x14ac:dyDescent="0.3">
      <c r="A36" s="32"/>
      <c r="B36" s="133" t="s">
        <v>21</v>
      </c>
      <c r="C36" s="133"/>
      <c r="D36" s="134"/>
      <c r="E36" s="28" t="str">
        <f>IF(E32="Eligible",IF(E35="Eligible","Eligible","Ineligible"),"Ineligible")</f>
        <v>Ineligible</v>
      </c>
    </row>
    <row r="37" spans="1:5" ht="43.35" customHeight="1" thickTop="1" thickBot="1" x14ac:dyDescent="0.3">
      <c r="A37" s="118" t="s">
        <v>33</v>
      </c>
      <c r="B37" s="118"/>
      <c r="C37" s="118"/>
      <c r="D37" s="118"/>
      <c r="E37" s="33"/>
    </row>
    <row r="38" spans="1:5" ht="30.75" customHeight="1" thickTop="1" x14ac:dyDescent="0.25">
      <c r="A38" s="16"/>
      <c r="B38" s="129" t="s">
        <v>116</v>
      </c>
      <c r="C38" s="129"/>
      <c r="D38" s="129"/>
      <c r="E38" s="129"/>
    </row>
    <row r="39" spans="1:5" ht="24.6" customHeight="1" x14ac:dyDescent="0.25">
      <c r="A39" s="16"/>
      <c r="B39" s="44" t="s">
        <v>34</v>
      </c>
      <c r="C39" s="93">
        <v>2601.9899999999998</v>
      </c>
      <c r="D39" s="96" t="s">
        <v>35</v>
      </c>
      <c r="E39" s="93">
        <v>156</v>
      </c>
    </row>
    <row r="40" spans="1:5" ht="24.6" customHeight="1" x14ac:dyDescent="0.25">
      <c r="A40" s="16"/>
      <c r="B40" s="44" t="s">
        <v>34</v>
      </c>
      <c r="C40" s="94">
        <v>2081.9899999999998</v>
      </c>
      <c r="D40" s="96" t="s">
        <v>35</v>
      </c>
      <c r="E40" s="93">
        <v>104</v>
      </c>
    </row>
    <row r="41" spans="1:5" s="8" customFormat="1" ht="24.6" customHeight="1" x14ac:dyDescent="0.25">
      <c r="A41" s="16"/>
      <c r="B41" s="44" t="s">
        <v>34</v>
      </c>
      <c r="C41" s="94">
        <v>1560.99</v>
      </c>
      <c r="D41" s="96" t="s">
        <v>35</v>
      </c>
      <c r="E41" s="93">
        <v>62</v>
      </c>
    </row>
    <row r="42" spans="1:5" s="8" customFormat="1" ht="24.6" customHeight="1" x14ac:dyDescent="0.25">
      <c r="A42" s="16"/>
      <c r="B42" s="44" t="s">
        <v>34</v>
      </c>
      <c r="C42" s="94">
        <v>1041</v>
      </c>
      <c r="D42" s="96" t="s">
        <v>35</v>
      </c>
      <c r="E42" s="93">
        <v>42</v>
      </c>
    </row>
    <row r="43" spans="1:5" ht="24" customHeight="1" x14ac:dyDescent="0.25">
      <c r="A43" s="16"/>
      <c r="B43" s="84">
        <f>C42</f>
        <v>1041</v>
      </c>
      <c r="C43" s="85" t="s">
        <v>104</v>
      </c>
      <c r="D43" s="46" t="s">
        <v>35</v>
      </c>
      <c r="E43" s="45">
        <v>0</v>
      </c>
    </row>
    <row r="44" spans="1:5" ht="18" customHeight="1" x14ac:dyDescent="0.25">
      <c r="A44" s="9" t="s">
        <v>30</v>
      </c>
      <c r="B44" s="127" t="s">
        <v>37</v>
      </c>
      <c r="C44" s="127"/>
      <c r="D44" s="128"/>
      <c r="E44" s="15">
        <f>E33</f>
        <v>0</v>
      </c>
    </row>
    <row r="45" spans="1:5" ht="18" x14ac:dyDescent="0.25">
      <c r="A45" s="35"/>
      <c r="B45" s="125" t="s">
        <v>36</v>
      </c>
      <c r="C45" s="125"/>
      <c r="D45" s="126"/>
      <c r="E45" s="34" t="str">
        <f>IF(E36="Eligible",(IF(E33&gt;C39,E39,(IF(E33&gt;C40,E40,(IF(E33&gt;C41,E41,(IF(E33&gt;C42,E42,0)))))))), " ")</f>
        <v xml:space="preserve"> </v>
      </c>
    </row>
    <row r="46" spans="1:5" ht="43.35" customHeight="1" thickBot="1" x14ac:dyDescent="0.3">
      <c r="A46" s="118" t="s">
        <v>48</v>
      </c>
      <c r="B46" s="118"/>
      <c r="C46" s="118"/>
      <c r="D46" s="118"/>
      <c r="E46" s="29"/>
    </row>
    <row r="47" spans="1:5" ht="30" customHeight="1" thickTop="1" x14ac:dyDescent="0.25">
      <c r="A47" s="129" t="s">
        <v>122</v>
      </c>
      <c r="B47" s="129"/>
      <c r="C47" s="129"/>
      <c r="D47" s="129"/>
      <c r="E47" s="129"/>
    </row>
    <row r="48" spans="1:5" ht="18" x14ac:dyDescent="0.25">
      <c r="A48" s="10"/>
      <c r="B48" s="123" t="s">
        <v>123</v>
      </c>
      <c r="C48" s="123"/>
      <c r="D48" s="124"/>
      <c r="E48" s="42">
        <f>IF(E23&gt;65,ROUNDDOWN(((E10+E11)-(E12+E13+20))+((E23-65)/2)-D32,0),E19)</f>
        <v>0</v>
      </c>
    </row>
    <row r="49" spans="1:5" ht="43.35" customHeight="1" thickBot="1" x14ac:dyDescent="0.3">
      <c r="A49" s="118" t="s">
        <v>75</v>
      </c>
      <c r="B49" s="118"/>
      <c r="C49" s="118"/>
      <c r="D49" s="118"/>
      <c r="E49" s="118"/>
    </row>
    <row r="50" spans="1:5" ht="15.75" thickTop="1" x14ac:dyDescent="0.25">
      <c r="A50" s="119" t="s">
        <v>78</v>
      </c>
      <c r="B50" s="120"/>
      <c r="C50" s="120"/>
      <c r="D50" s="120"/>
      <c r="E50" s="121"/>
    </row>
    <row r="51" spans="1:5" s="62" customFormat="1" ht="14.45" customHeight="1" x14ac:dyDescent="0.2">
      <c r="A51" s="103" t="s">
        <v>87</v>
      </c>
      <c r="B51" s="104"/>
      <c r="C51" s="104"/>
      <c r="D51" s="105"/>
      <c r="E51" s="61">
        <f>E10+E11</f>
        <v>0</v>
      </c>
    </row>
    <row r="52" spans="1:5" s="62" customFormat="1" ht="14.45" customHeight="1" x14ac:dyDescent="0.2">
      <c r="A52" s="103" t="s">
        <v>79</v>
      </c>
      <c r="B52" s="104"/>
      <c r="C52" s="104"/>
      <c r="D52" s="105"/>
      <c r="E52" s="61">
        <f>0-(E12+E13)</f>
        <v>0</v>
      </c>
    </row>
    <row r="53" spans="1:5" s="62" customFormat="1" ht="14.45" customHeight="1" x14ac:dyDescent="0.2">
      <c r="A53" s="100" t="s">
        <v>80</v>
      </c>
      <c r="B53" s="101"/>
      <c r="C53" s="101"/>
      <c r="D53" s="102"/>
      <c r="E53" s="61">
        <f>0-E19</f>
        <v>0</v>
      </c>
    </row>
    <row r="54" spans="1:5" ht="18" customHeight="1" x14ac:dyDescent="0.25">
      <c r="A54" s="112" t="s">
        <v>81</v>
      </c>
      <c r="B54" s="113"/>
      <c r="C54" s="113"/>
      <c r="D54" s="114"/>
      <c r="E54" s="13">
        <f>E51+E52+E53</f>
        <v>0</v>
      </c>
    </row>
    <row r="55" spans="1:5" ht="19.5" customHeight="1" x14ac:dyDescent="0.25">
      <c r="A55" s="115" t="s">
        <v>86</v>
      </c>
      <c r="B55" s="116"/>
      <c r="C55" s="116"/>
      <c r="D55" s="116"/>
      <c r="E55" s="117"/>
    </row>
    <row r="56" spans="1:5" s="62" customFormat="1" ht="14.45" customHeight="1" x14ac:dyDescent="0.2">
      <c r="A56" s="103" t="s">
        <v>87</v>
      </c>
      <c r="B56" s="104"/>
      <c r="C56" s="104"/>
      <c r="D56" s="105"/>
      <c r="E56" s="61">
        <f>E10+E11</f>
        <v>0</v>
      </c>
    </row>
    <row r="57" spans="1:5" s="62" customFormat="1" ht="14.45" customHeight="1" x14ac:dyDescent="0.2">
      <c r="A57" s="103" t="s">
        <v>79</v>
      </c>
      <c r="B57" s="104"/>
      <c r="C57" s="104"/>
      <c r="D57" s="105"/>
      <c r="E57" s="61">
        <f>0-(E12+E13)</f>
        <v>0</v>
      </c>
    </row>
    <row r="58" spans="1:5" s="62" customFormat="1" ht="14.45" customHeight="1" x14ac:dyDescent="0.2">
      <c r="A58" s="103" t="s">
        <v>82</v>
      </c>
      <c r="B58" s="104"/>
      <c r="C58" s="104"/>
      <c r="D58" s="105"/>
      <c r="E58" s="61">
        <f>E22+E23</f>
        <v>0</v>
      </c>
    </row>
    <row r="59" spans="1:5" s="62" customFormat="1" ht="14.45" customHeight="1" x14ac:dyDescent="0.2">
      <c r="A59" s="109" t="s">
        <v>77</v>
      </c>
      <c r="B59" s="110"/>
      <c r="C59" s="110"/>
      <c r="D59" s="111"/>
      <c r="E59" s="63">
        <f>IF(E36="Eligible",(0-E45), 0)</f>
        <v>0</v>
      </c>
    </row>
    <row r="60" spans="1:5" s="62" customFormat="1" ht="14.45" customHeight="1" x14ac:dyDescent="0.2">
      <c r="A60" s="103" t="s">
        <v>84</v>
      </c>
      <c r="B60" s="104"/>
      <c r="C60" s="104"/>
      <c r="D60" s="105"/>
      <c r="E60" s="63">
        <f>IF(E36="Eligible",0,(0-E48))</f>
        <v>0</v>
      </c>
    </row>
    <row r="61" spans="1:5" ht="18" customHeight="1" x14ac:dyDescent="0.25">
      <c r="A61" s="112" t="s">
        <v>83</v>
      </c>
      <c r="B61" s="113"/>
      <c r="C61" s="113"/>
      <c r="D61" s="114"/>
      <c r="E61" s="13">
        <f>(E10+E11)-(E12+E13)+E58+E59+E60</f>
        <v>0</v>
      </c>
    </row>
    <row r="62" spans="1:5" ht="21.6" customHeight="1" x14ac:dyDescent="0.25">
      <c r="A62" s="106" t="s">
        <v>88</v>
      </c>
      <c r="B62" s="107"/>
      <c r="C62" s="107"/>
      <c r="D62" s="108"/>
      <c r="E62" s="64">
        <f>E61-E54</f>
        <v>0</v>
      </c>
    </row>
  </sheetData>
  <sheetProtection algorithmName="SHA-512" hashValue="iXuytj3kDUT9VaaDmIhKJmYjssFoKz4W+GqV8afBA7e+iYAcAiRMNfKha9Iy8s/IcmjckF+BeiU6A4DCH7wWRg==" saltValue="spjYNBYmImjg/ipG3xFxXw==" spinCount="100000" sheet="1" selectLockedCells="1"/>
  <mergeCells count="57">
    <mergeCell ref="A1:E1"/>
    <mergeCell ref="A6:B6"/>
    <mergeCell ref="A5:B5"/>
    <mergeCell ref="A4:B4"/>
    <mergeCell ref="A2:E2"/>
    <mergeCell ref="C5:D5"/>
    <mergeCell ref="C6:D6"/>
    <mergeCell ref="A3:E3"/>
    <mergeCell ref="A7:E7"/>
    <mergeCell ref="B10:D10"/>
    <mergeCell ref="A8:E8"/>
    <mergeCell ref="A9:D9"/>
    <mergeCell ref="A21:D21"/>
    <mergeCell ref="B11:D11"/>
    <mergeCell ref="A15:D15"/>
    <mergeCell ref="B16:D16"/>
    <mergeCell ref="B18:D18"/>
    <mergeCell ref="C20:D20"/>
    <mergeCell ref="C19:D19"/>
    <mergeCell ref="B19:B20"/>
    <mergeCell ref="B12:D12"/>
    <mergeCell ref="B13:D14"/>
    <mergeCell ref="B17:D17"/>
    <mergeCell ref="B33:D33"/>
    <mergeCell ref="B27:D27"/>
    <mergeCell ref="B26:D26"/>
    <mergeCell ref="B22:D22"/>
    <mergeCell ref="B28:D28"/>
    <mergeCell ref="B30:D30"/>
    <mergeCell ref="B25:D25"/>
    <mergeCell ref="A49:E49"/>
    <mergeCell ref="A60:D60"/>
    <mergeCell ref="A50:E50"/>
    <mergeCell ref="B23:D23"/>
    <mergeCell ref="A46:D46"/>
    <mergeCell ref="B48:D48"/>
    <mergeCell ref="B45:D45"/>
    <mergeCell ref="B44:D44"/>
    <mergeCell ref="A47:E47"/>
    <mergeCell ref="B38:E38"/>
    <mergeCell ref="A24:D24"/>
    <mergeCell ref="B31:D31"/>
    <mergeCell ref="B29:D29"/>
    <mergeCell ref="A37:D37"/>
    <mergeCell ref="B36:D36"/>
    <mergeCell ref="B34:D34"/>
    <mergeCell ref="A53:D53"/>
    <mergeCell ref="A52:D52"/>
    <mergeCell ref="A51:D51"/>
    <mergeCell ref="A57:D57"/>
    <mergeCell ref="A62:D62"/>
    <mergeCell ref="A59:D59"/>
    <mergeCell ref="A54:D54"/>
    <mergeCell ref="A55:E55"/>
    <mergeCell ref="A58:D58"/>
    <mergeCell ref="A61:D61"/>
    <mergeCell ref="A56:D56"/>
  </mergeCells>
  <phoneticPr fontId="37" type="noConversion"/>
  <pageMargins left="0.7" right="0.7" top="0.66666666699999999" bottom="1" header="0.3" footer="0.3"/>
  <pageSetup orientation="portrait" horizontalDpi="300" verticalDpi="300" r:id="rId1"/>
  <headerFooter differentFirst="1">
    <oddHeader xml:space="preserve">&amp;L&amp;10Ticket to Work Health Assurance Calculation Sheet for Single Individuals
</oddHeader>
    <oddFooter xml:space="preserve">&amp;L&amp;8A product of Disability Policy &amp; Studies, School of Health Professions,
University of Missouri
&amp;R&amp;8 Page &amp;P
Revised 7/22/19
</oddFooter>
    <firstHeader xml:space="preserve">&amp;C </firstHeader>
    <firstFooter>&amp;L&amp;8A product of Disability Policy &amp; Studies, School of Health Professions,
University of Missouri
&amp;R&amp;8Revised  7/22/19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7"/>
  <sheetViews>
    <sheetView showGridLines="0" view="pageLayout" zoomScale="110" zoomScaleNormal="110" zoomScaleSheetLayoutView="90" zoomScalePageLayoutView="110" workbookViewId="0">
      <selection activeCell="C5" sqref="C5"/>
    </sheetView>
  </sheetViews>
  <sheetFormatPr defaultColWidth="8.85546875" defaultRowHeight="15" x14ac:dyDescent="0.25"/>
  <cols>
    <col min="1" max="1" width="6.28515625" customWidth="1"/>
    <col min="2" max="2" width="21.42578125" customWidth="1"/>
    <col min="3" max="3" width="18.140625" customWidth="1"/>
    <col min="4" max="4" width="26.85546875" customWidth="1"/>
    <col min="5" max="5" width="16.42578125" customWidth="1"/>
  </cols>
  <sheetData>
    <row r="1" spans="1:5" ht="21.75" customHeight="1" thickBot="1" x14ac:dyDescent="0.3">
      <c r="A1" s="159" t="s">
        <v>51</v>
      </c>
      <c r="B1" s="159"/>
      <c r="C1" s="159"/>
      <c r="D1" s="159"/>
      <c r="E1" s="159"/>
    </row>
    <row r="2" spans="1:5" ht="15" customHeight="1" thickTop="1" x14ac:dyDescent="0.25">
      <c r="A2" s="177" t="s">
        <v>118</v>
      </c>
      <c r="B2" s="178"/>
      <c r="C2" s="178"/>
      <c r="D2" s="178"/>
      <c r="E2" s="178"/>
    </row>
    <row r="3" spans="1:5" ht="15.75" customHeight="1" thickBot="1" x14ac:dyDescent="0.3">
      <c r="A3" s="179" t="s">
        <v>52</v>
      </c>
      <c r="B3" s="180"/>
      <c r="C3" s="180"/>
      <c r="D3" s="180"/>
      <c r="E3" s="180"/>
    </row>
    <row r="4" spans="1:5" ht="13.5" customHeight="1" thickTop="1" x14ac:dyDescent="0.25">
      <c r="A4" s="181" t="s">
        <v>114</v>
      </c>
      <c r="B4" s="182"/>
      <c r="C4" s="182"/>
      <c r="D4" s="182"/>
      <c r="E4" s="182"/>
    </row>
    <row r="5" spans="1:5" s="2" customFormat="1" ht="24" customHeight="1" x14ac:dyDescent="0.25">
      <c r="A5" s="161" t="s">
        <v>0</v>
      </c>
      <c r="B5" s="161"/>
      <c r="C5" s="41" t="s">
        <v>85</v>
      </c>
      <c r="D5" s="4"/>
      <c r="E5" s="3"/>
    </row>
    <row r="6" spans="1:5" s="2" customFormat="1" ht="24.75" customHeight="1" x14ac:dyDescent="0.25">
      <c r="A6" s="161" t="s">
        <v>53</v>
      </c>
      <c r="B6" s="161"/>
      <c r="C6" s="176" t="s">
        <v>85</v>
      </c>
      <c r="D6" s="176"/>
      <c r="E6" s="176"/>
    </row>
    <row r="7" spans="1:5" ht="19.5" customHeight="1" x14ac:dyDescent="0.25">
      <c r="A7" s="160" t="s">
        <v>2</v>
      </c>
      <c r="B7" s="160"/>
      <c r="C7" s="173"/>
      <c r="D7" s="173"/>
      <c r="E7" s="173"/>
    </row>
    <row r="8" spans="1:5" ht="24" customHeight="1" x14ac:dyDescent="0.25">
      <c r="A8" s="143" t="s">
        <v>38</v>
      </c>
      <c r="B8" s="143"/>
      <c r="C8" s="143"/>
      <c r="D8" s="143"/>
      <c r="E8" s="143"/>
    </row>
    <row r="9" spans="1:5" s="8" customFormat="1" ht="18" customHeight="1" thickBot="1" x14ac:dyDescent="0.3">
      <c r="A9" s="146" t="s">
        <v>3</v>
      </c>
      <c r="B9" s="146"/>
      <c r="C9" s="146"/>
      <c r="D9" s="146"/>
      <c r="E9" s="146"/>
    </row>
    <row r="10" spans="1:5" s="8" customFormat="1" ht="36.75" customHeight="1" thickTop="1" thickBot="1" x14ac:dyDescent="0.3">
      <c r="A10" s="130" t="s">
        <v>40</v>
      </c>
      <c r="B10" s="130"/>
      <c r="C10" s="130"/>
      <c r="D10" s="130"/>
      <c r="E10" s="49"/>
    </row>
    <row r="11" spans="1:5" s="8" customFormat="1" ht="18" customHeight="1" thickTop="1" x14ac:dyDescent="0.25">
      <c r="A11" s="50" t="s">
        <v>105</v>
      </c>
      <c r="B11" s="144" t="s">
        <v>69</v>
      </c>
      <c r="C11" s="144"/>
      <c r="D11" s="145"/>
      <c r="E11" s="80">
        <v>0</v>
      </c>
    </row>
    <row r="12" spans="1:5" s="8" customFormat="1" ht="18" customHeight="1" x14ac:dyDescent="0.25">
      <c r="A12" s="50"/>
      <c r="B12" s="174" t="s">
        <v>70</v>
      </c>
      <c r="C12" s="174"/>
      <c r="D12" s="175"/>
      <c r="E12" s="80">
        <v>0</v>
      </c>
    </row>
    <row r="13" spans="1:5" s="8" customFormat="1" ht="18" customHeight="1" x14ac:dyDescent="0.25">
      <c r="A13" s="50" t="s">
        <v>5</v>
      </c>
      <c r="B13" s="144" t="s">
        <v>54</v>
      </c>
      <c r="C13" s="144"/>
      <c r="D13" s="145"/>
      <c r="E13" s="80">
        <v>0</v>
      </c>
    </row>
    <row r="14" spans="1:5" s="8" customFormat="1" ht="16.5" customHeight="1" x14ac:dyDescent="0.25">
      <c r="A14" s="50" t="s">
        <v>6</v>
      </c>
      <c r="B14" s="144" t="s">
        <v>67</v>
      </c>
      <c r="C14" s="144"/>
      <c r="D14" s="145"/>
      <c r="E14" s="80">
        <v>0</v>
      </c>
    </row>
    <row r="15" spans="1:5" s="8" customFormat="1" ht="18" customHeight="1" x14ac:dyDescent="0.25">
      <c r="A15" s="50"/>
      <c r="B15" s="144" t="s">
        <v>68</v>
      </c>
      <c r="C15" s="144"/>
      <c r="D15" s="145"/>
      <c r="E15" s="82">
        <v>0</v>
      </c>
    </row>
    <row r="16" spans="1:5" s="8" customFormat="1" ht="18" customHeight="1" x14ac:dyDescent="0.25">
      <c r="A16" s="50" t="s">
        <v>7</v>
      </c>
      <c r="B16" s="155" t="s">
        <v>101</v>
      </c>
      <c r="C16" s="155"/>
      <c r="D16" s="156"/>
      <c r="E16" s="171">
        <v>0</v>
      </c>
    </row>
    <row r="17" spans="1:105" ht="18" customHeight="1" thickBot="1" x14ac:dyDescent="0.3">
      <c r="A17" s="51"/>
      <c r="B17" s="157"/>
      <c r="C17" s="157"/>
      <c r="D17" s="158"/>
      <c r="E17" s="172"/>
    </row>
    <row r="18" spans="1:105" ht="36.75" customHeight="1" thickTop="1" thickBot="1" x14ac:dyDescent="0.3">
      <c r="A18" s="118" t="s">
        <v>43</v>
      </c>
      <c r="B18" s="118"/>
      <c r="C18" s="118"/>
      <c r="D18" s="118"/>
      <c r="E18" s="29"/>
    </row>
    <row r="19" spans="1:105" ht="20.100000000000001" customHeight="1" thickTop="1" x14ac:dyDescent="0.25">
      <c r="A19" s="9" t="s">
        <v>8</v>
      </c>
      <c r="B19" s="147" t="s">
        <v>55</v>
      </c>
      <c r="C19" s="147"/>
      <c r="D19" s="148"/>
      <c r="E19" s="14">
        <f xml:space="preserve"> E11+E12+E13</f>
        <v>0</v>
      </c>
    </row>
    <row r="20" spans="1:105" ht="19.5" customHeight="1" x14ac:dyDescent="0.25">
      <c r="A20" s="9" t="s">
        <v>9</v>
      </c>
      <c r="B20" s="127" t="s">
        <v>42</v>
      </c>
      <c r="C20" s="127"/>
      <c r="D20" s="128"/>
      <c r="E20" s="13">
        <f>IF(E19&gt;0,20,0)</f>
        <v>0</v>
      </c>
    </row>
    <row r="21" spans="1:105" ht="21.75" customHeight="1" x14ac:dyDescent="0.25">
      <c r="A21" s="9" t="s">
        <v>10</v>
      </c>
      <c r="B21" s="127" t="s">
        <v>98</v>
      </c>
      <c r="C21" s="127"/>
      <c r="D21" s="128"/>
      <c r="E21" s="17">
        <f>IF(E19&gt;0,IF((E19-(E14+E15+E16+E20))&gt;0,E19-(E14+E15+E16+E20),0),0)</f>
        <v>0</v>
      </c>
    </row>
    <row r="22" spans="1:105" ht="21.75" customHeight="1" x14ac:dyDescent="0.25">
      <c r="A22" s="37"/>
      <c r="B22" s="153" t="s">
        <v>85</v>
      </c>
      <c r="C22" s="151" t="s">
        <v>47</v>
      </c>
      <c r="D22" s="152"/>
      <c r="E22" s="19">
        <f>ROUNDDOWN(IF(E21-D39&gt;0,E21-D39,0),0)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42" customHeight="1" thickBot="1" x14ac:dyDescent="0.3">
      <c r="A23" s="36"/>
      <c r="B23" s="154"/>
      <c r="C23" s="149" t="s">
        <v>120</v>
      </c>
      <c r="D23" s="150"/>
      <c r="E23" s="1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38.25" customHeight="1" thickTop="1" thickBot="1" x14ac:dyDescent="0.3">
      <c r="A24" s="130" t="s">
        <v>44</v>
      </c>
      <c r="B24" s="130"/>
      <c r="C24" s="130"/>
      <c r="D24" s="130"/>
      <c r="E24" s="4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ht="21.75" customHeight="1" thickTop="1" x14ac:dyDescent="0.25">
      <c r="A25" s="39" t="s">
        <v>11</v>
      </c>
      <c r="B25" s="139" t="s">
        <v>106</v>
      </c>
      <c r="C25" s="139"/>
      <c r="D25" s="140"/>
      <c r="E25" s="80">
        <v>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ht="21.75" customHeight="1" x14ac:dyDescent="0.25">
      <c r="A26" s="52"/>
      <c r="B26" s="122" t="s">
        <v>107</v>
      </c>
      <c r="C26" s="122"/>
      <c r="D26" s="169"/>
      <c r="E26" s="80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24.75" customHeight="1" x14ac:dyDescent="0.25">
      <c r="A27" s="6" t="s">
        <v>12</v>
      </c>
      <c r="B27" s="122" t="s">
        <v>108</v>
      </c>
      <c r="C27" s="122"/>
      <c r="D27" s="122"/>
      <c r="E27" s="80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25.5" customHeight="1" thickBot="1" x14ac:dyDescent="0.3">
      <c r="A28" s="53"/>
      <c r="B28" s="170" t="s">
        <v>109</v>
      </c>
      <c r="C28" s="170"/>
      <c r="D28" s="170"/>
      <c r="E28" s="81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28.7" customHeight="1" thickTop="1" thickBot="1" x14ac:dyDescent="0.3">
      <c r="A29" s="118" t="s">
        <v>45</v>
      </c>
      <c r="B29" s="118"/>
      <c r="C29" s="118"/>
      <c r="D29" s="118"/>
      <c r="E29" s="4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8" customHeight="1" thickTop="1" x14ac:dyDescent="0.25">
      <c r="A30" s="9" t="s">
        <v>13</v>
      </c>
      <c r="B30" s="141" t="s">
        <v>56</v>
      </c>
      <c r="C30" s="141"/>
      <c r="D30" s="142"/>
      <c r="E30" s="14">
        <f>IF((E25 +E26+E27+E28)&gt;0,E11+E12+E13,0)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" customHeight="1" x14ac:dyDescent="0.25">
      <c r="A31" s="9" t="s">
        <v>14</v>
      </c>
      <c r="B31" s="127" t="s">
        <v>42</v>
      </c>
      <c r="C31" s="127"/>
      <c r="D31" s="128"/>
      <c r="E31" s="13">
        <f>IF(SUM(E25:E28)&gt;0,20,0)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6.5" customHeight="1" x14ac:dyDescent="0.25">
      <c r="A32" s="9" t="s">
        <v>18</v>
      </c>
      <c r="B32" s="127" t="s">
        <v>71</v>
      </c>
      <c r="C32" s="127"/>
      <c r="D32" s="128"/>
      <c r="E32" s="13">
        <f>IF((E25+E27)=0,0,(IF(E11&gt;50,50,E11)))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105" s="1" customFormat="1" ht="16.5" customHeight="1" x14ac:dyDescent="0.25">
      <c r="A33" s="9"/>
      <c r="B33" s="127" t="s">
        <v>73</v>
      </c>
      <c r="C33" s="127"/>
      <c r="D33" s="128"/>
      <c r="E33" s="14">
        <f>IF((E26+E28)=0,0,(IF(E12&gt;50,50,E12)))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</row>
    <row r="34" spans="1:105" s="1" customFormat="1" ht="18" customHeight="1" x14ac:dyDescent="0.25">
      <c r="A34" s="9" t="s">
        <v>19</v>
      </c>
      <c r="B34" s="127" t="s">
        <v>72</v>
      </c>
      <c r="C34" s="127"/>
      <c r="D34" s="128"/>
      <c r="E34" s="13">
        <f>IF(E25+E27=0,E14,(IF(E14&gt;75,E14,IF(E14&gt;0,75,0))))</f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20.25" customHeight="1" x14ac:dyDescent="0.25">
      <c r="A35" s="9"/>
      <c r="B35" s="127" t="s">
        <v>74</v>
      </c>
      <c r="C35" s="127"/>
      <c r="D35" s="128"/>
      <c r="E35" s="13">
        <f>IF(E26+E28=0,E15,(IF(E15&gt;75,E15,IF(E15&gt;0,75,0))))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1" customFormat="1" ht="20.25" customHeight="1" x14ac:dyDescent="0.25">
      <c r="A36" s="9" t="s">
        <v>20</v>
      </c>
      <c r="B36" s="127" t="s">
        <v>100</v>
      </c>
      <c r="C36" s="127"/>
      <c r="D36" s="128"/>
      <c r="E36" s="13">
        <f>E16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ht="18" customHeight="1" x14ac:dyDescent="0.25">
      <c r="A37" s="9" t="s">
        <v>25</v>
      </c>
      <c r="B37" s="127" t="s">
        <v>24</v>
      </c>
      <c r="C37" s="127"/>
      <c r="D37" s="128"/>
      <c r="E37" s="13">
        <f>IF(E25+E26+E27+E28&gt;0,(E25+E26+E27+E28)/2,0)</f>
        <v>0</v>
      </c>
    </row>
    <row r="38" spans="1:105" ht="21.75" customHeight="1" x14ac:dyDescent="0.25">
      <c r="A38" s="22" t="s">
        <v>28</v>
      </c>
      <c r="B38" s="131" t="s">
        <v>46</v>
      </c>
      <c r="C38" s="131"/>
      <c r="D38" s="132"/>
      <c r="E38" s="43">
        <f>IF(E30-SUM(E31:E37)&gt;0,E30-SUM(E31:E37),0)</f>
        <v>0</v>
      </c>
    </row>
    <row r="39" spans="1:105" ht="15.75" customHeight="1" x14ac:dyDescent="0.25">
      <c r="A39" s="25"/>
      <c r="B39" s="60" t="s">
        <v>93</v>
      </c>
      <c r="C39" s="20" t="s">
        <v>22</v>
      </c>
      <c r="D39" s="21">
        <v>1198</v>
      </c>
      <c r="E39" s="24" t="str">
        <f>IF((E25+E26+E27+E28)&gt;0,IF(E38&gt;D39,"Ineligible","Eligible"),"Ineligible ")</f>
        <v xml:space="preserve">Ineligible </v>
      </c>
    </row>
    <row r="40" spans="1:105" ht="15.75" customHeight="1" x14ac:dyDescent="0.25">
      <c r="A40" s="40" t="s">
        <v>29</v>
      </c>
      <c r="B40" s="137" t="s">
        <v>26</v>
      </c>
      <c r="C40" s="137"/>
      <c r="D40" s="138"/>
      <c r="E40" s="23">
        <f>IF(SUM(E25:E28)&gt;0,E27+E28+E30,0)</f>
        <v>0</v>
      </c>
    </row>
    <row r="41" spans="1:105" ht="15.75" customHeight="1" x14ac:dyDescent="0.25">
      <c r="A41" s="26"/>
      <c r="B41" s="135" t="s">
        <v>27</v>
      </c>
      <c r="C41" s="135"/>
      <c r="D41" s="136"/>
      <c r="E41" s="27"/>
    </row>
    <row r="42" spans="1:105" ht="24.75" customHeight="1" x14ac:dyDescent="0.25">
      <c r="A42" s="25"/>
      <c r="B42" s="60" t="s">
        <v>31</v>
      </c>
      <c r="C42" s="20" t="s">
        <v>32</v>
      </c>
      <c r="D42" s="21">
        <v>4228</v>
      </c>
      <c r="E42" s="24" t="str">
        <f>IF(SUM(E25:E28)&gt;0,IF(E40&gt;D42,"Ineligible","Eligible"),"Ineligible ")</f>
        <v xml:space="preserve">Ineligible </v>
      </c>
    </row>
    <row r="43" spans="1:105" ht="21.75" customHeight="1" thickBot="1" x14ac:dyDescent="0.3">
      <c r="A43" s="32"/>
      <c r="B43" s="133" t="s">
        <v>57</v>
      </c>
      <c r="C43" s="133"/>
      <c r="D43" s="134"/>
      <c r="E43" s="28" t="str">
        <f>IF(E39="Eligible", IF(E42="Eligible",(IF(E25+E27&gt;0,"Eligible","Ineligible")),"Ineligible"),"Ineligible")</f>
        <v>Ineligible</v>
      </c>
    </row>
    <row r="44" spans="1:105" ht="22.5" customHeight="1" thickTop="1" thickBot="1" x14ac:dyDescent="0.3">
      <c r="A44" s="32"/>
      <c r="B44" s="133" t="s">
        <v>58</v>
      </c>
      <c r="C44" s="133"/>
      <c r="D44" s="134"/>
      <c r="E44" s="28" t="str">
        <f>IF(E39="Eligible", IF(E42="Eligible",(IF(E26+E28&gt;0,"Eligible","Ineligible")),"Ineligible"),"Ineligible")</f>
        <v>Ineligible</v>
      </c>
    </row>
    <row r="45" spans="1:105" ht="31.5" customHeight="1" thickTop="1" thickBot="1" x14ac:dyDescent="0.3">
      <c r="A45" s="118" t="s">
        <v>33</v>
      </c>
      <c r="B45" s="118"/>
      <c r="C45" s="118"/>
      <c r="D45" s="118"/>
      <c r="E45" s="48"/>
    </row>
    <row r="46" spans="1:105" ht="32.25" customHeight="1" thickTop="1" x14ac:dyDescent="0.25">
      <c r="A46" s="16"/>
      <c r="B46" s="168" t="s">
        <v>115</v>
      </c>
      <c r="C46" s="168"/>
      <c r="D46" s="168"/>
      <c r="E46" s="168"/>
    </row>
    <row r="47" spans="1:105" s="8" customFormat="1" ht="17.25" customHeight="1" x14ac:dyDescent="0.25">
      <c r="A47" s="16"/>
      <c r="B47" s="44" t="s">
        <v>34</v>
      </c>
      <c r="C47" s="93">
        <v>3522.99</v>
      </c>
      <c r="D47" s="46" t="s">
        <v>35</v>
      </c>
      <c r="E47" s="95">
        <v>211</v>
      </c>
    </row>
    <row r="48" spans="1:105" s="8" customFormat="1" ht="17.25" customHeight="1" x14ac:dyDescent="0.25">
      <c r="A48" s="16"/>
      <c r="B48" s="44" t="s">
        <v>34</v>
      </c>
      <c r="C48" s="94">
        <v>2817.99</v>
      </c>
      <c r="D48" s="46" t="s">
        <v>35</v>
      </c>
      <c r="E48" s="95">
        <v>141</v>
      </c>
    </row>
    <row r="49" spans="1:5" ht="17.25" customHeight="1" x14ac:dyDescent="0.25">
      <c r="A49" s="16"/>
      <c r="B49" s="44" t="s">
        <v>34</v>
      </c>
      <c r="C49" s="94">
        <v>2113.9899999999998</v>
      </c>
      <c r="D49" s="46" t="s">
        <v>35</v>
      </c>
      <c r="E49" s="95">
        <v>85</v>
      </c>
    </row>
    <row r="50" spans="1:5" ht="16.5" x14ac:dyDescent="0.25">
      <c r="A50" s="16"/>
      <c r="B50" s="44" t="s">
        <v>34</v>
      </c>
      <c r="C50" s="47">
        <v>1409</v>
      </c>
      <c r="D50" s="46" t="s">
        <v>35</v>
      </c>
      <c r="E50" s="95">
        <v>56</v>
      </c>
    </row>
    <row r="51" spans="1:5" ht="16.5" x14ac:dyDescent="0.25">
      <c r="A51" s="16"/>
      <c r="B51" s="89">
        <f>C50</f>
        <v>1409</v>
      </c>
      <c r="C51" s="88" t="s">
        <v>104</v>
      </c>
      <c r="D51" s="90" t="s">
        <v>35</v>
      </c>
      <c r="E51" s="45">
        <v>0</v>
      </c>
    </row>
    <row r="52" spans="1:5" ht="16.5" x14ac:dyDescent="0.25">
      <c r="A52" s="16"/>
      <c r="B52" s="91" t="s">
        <v>85</v>
      </c>
      <c r="C52" s="92"/>
      <c r="D52" s="92"/>
      <c r="E52" s="54"/>
    </row>
    <row r="53" spans="1:5" ht="27.75" customHeight="1" x14ac:dyDescent="0.25">
      <c r="A53" s="9" t="s">
        <v>30</v>
      </c>
      <c r="B53" s="127" t="s">
        <v>37</v>
      </c>
      <c r="C53" s="127"/>
      <c r="D53" s="128"/>
      <c r="E53" s="15">
        <f>E40</f>
        <v>0</v>
      </c>
    </row>
    <row r="54" spans="1:5" ht="25.5" customHeight="1" x14ac:dyDescent="0.25">
      <c r="A54" s="35"/>
      <c r="B54" s="125" t="s">
        <v>36</v>
      </c>
      <c r="C54" s="125"/>
      <c r="D54" s="126"/>
      <c r="E54" s="34" t="str">
        <f>IF((OR(E43="Eligible",E44="Eligible")),(IF(E40&gt;C47,E47,(IF(E40&gt;C48,E48,(IF(E40&gt;C49,E49,(IF(E40&gt;C50,E50,0)))))))), " ")</f>
        <v xml:space="preserve"> </v>
      </c>
    </row>
    <row r="55" spans="1:5" ht="28.5" customHeight="1" thickBot="1" x14ac:dyDescent="0.3">
      <c r="A55" s="118" t="s">
        <v>48</v>
      </c>
      <c r="B55" s="118"/>
      <c r="C55" s="118"/>
      <c r="D55" s="118"/>
      <c r="E55" s="29"/>
    </row>
    <row r="56" spans="1:5" ht="34.5" customHeight="1" thickTop="1" x14ac:dyDescent="0.25">
      <c r="A56" s="129" t="s">
        <v>121</v>
      </c>
      <c r="B56" s="129"/>
      <c r="C56" s="129"/>
      <c r="D56" s="129"/>
      <c r="E56" s="129"/>
    </row>
    <row r="57" spans="1:5" ht="18" x14ac:dyDescent="0.25">
      <c r="A57" s="10"/>
      <c r="B57" s="123" t="s">
        <v>123</v>
      </c>
      <c r="C57" s="123"/>
      <c r="D57" s="124"/>
      <c r="E57" s="42">
        <f>IF(E27+E28&gt;65,ROUNDDOWN(((E11+E12+E13)-(E14+E15+E16+E31))+((E27+E28-65)/2)-D39,0),E22)</f>
        <v>0</v>
      </c>
    </row>
    <row r="64" spans="1:5" ht="17.25" thickBot="1" x14ac:dyDescent="0.3">
      <c r="A64" s="118" t="s">
        <v>75</v>
      </c>
      <c r="B64" s="118"/>
      <c r="C64" s="118"/>
      <c r="D64" s="118"/>
      <c r="E64" s="118"/>
    </row>
    <row r="65" spans="1:5" ht="21.6" customHeight="1" thickTop="1" x14ac:dyDescent="0.25">
      <c r="A65" s="186" t="s">
        <v>78</v>
      </c>
      <c r="B65" s="186"/>
      <c r="C65" s="186"/>
      <c r="D65" s="186"/>
      <c r="E65" s="186"/>
    </row>
    <row r="66" spans="1:5" s="62" customFormat="1" ht="12" x14ac:dyDescent="0.2">
      <c r="A66" s="103" t="s">
        <v>76</v>
      </c>
      <c r="B66" s="104"/>
      <c r="C66" s="104"/>
      <c r="D66" s="105"/>
      <c r="E66" s="61">
        <f>E19</f>
        <v>0</v>
      </c>
    </row>
    <row r="67" spans="1:5" s="62" customFormat="1" ht="12" x14ac:dyDescent="0.2">
      <c r="A67" s="103" t="s">
        <v>79</v>
      </c>
      <c r="B67" s="104"/>
      <c r="C67" s="104"/>
      <c r="D67" s="105"/>
      <c r="E67" s="61">
        <f>0-(E14+E15+E16)</f>
        <v>0</v>
      </c>
    </row>
    <row r="68" spans="1:5" s="62" customFormat="1" ht="12" x14ac:dyDescent="0.2">
      <c r="A68" s="65"/>
      <c r="B68" s="66" t="s">
        <v>80</v>
      </c>
      <c r="C68" s="67"/>
      <c r="D68" s="68"/>
      <c r="E68" s="61">
        <f>0-E22</f>
        <v>0</v>
      </c>
    </row>
    <row r="69" spans="1:5" x14ac:dyDescent="0.25">
      <c r="A69" s="187" t="s">
        <v>81</v>
      </c>
      <c r="B69" s="188"/>
      <c r="C69" s="188"/>
      <c r="D69" s="189"/>
      <c r="E69" s="15">
        <f>E66+E67+E68</f>
        <v>0</v>
      </c>
    </row>
    <row r="70" spans="1:5" ht="21.6" customHeight="1" x14ac:dyDescent="0.25">
      <c r="A70" s="190" t="s">
        <v>86</v>
      </c>
      <c r="B70" s="190"/>
      <c r="C70" s="190"/>
      <c r="D70" s="190"/>
      <c r="E70" s="190"/>
    </row>
    <row r="71" spans="1:5" s="62" customFormat="1" ht="12" x14ac:dyDescent="0.2">
      <c r="A71" s="103" t="s">
        <v>76</v>
      </c>
      <c r="B71" s="104"/>
      <c r="C71" s="104"/>
      <c r="D71" s="105"/>
      <c r="E71" s="61">
        <f>E19</f>
        <v>0</v>
      </c>
    </row>
    <row r="72" spans="1:5" s="62" customFormat="1" ht="12" x14ac:dyDescent="0.2">
      <c r="A72" s="103" t="s">
        <v>79</v>
      </c>
      <c r="B72" s="104"/>
      <c r="C72" s="104"/>
      <c r="D72" s="105"/>
      <c r="E72" s="61">
        <f>0-(E14+E15+E16)</f>
        <v>0</v>
      </c>
    </row>
    <row r="73" spans="1:5" s="62" customFormat="1" ht="12" x14ac:dyDescent="0.2">
      <c r="A73" s="103" t="s">
        <v>82</v>
      </c>
      <c r="B73" s="104"/>
      <c r="C73" s="104"/>
      <c r="D73" s="105"/>
      <c r="E73" s="61">
        <f>E25+E26+E27+E28</f>
        <v>0</v>
      </c>
    </row>
    <row r="74" spans="1:5" s="62" customFormat="1" ht="12" x14ac:dyDescent="0.2">
      <c r="A74" s="109" t="s">
        <v>77</v>
      </c>
      <c r="B74" s="110"/>
      <c r="C74" s="110"/>
      <c r="D74" s="111"/>
      <c r="E74" s="63">
        <f>IF(E54=" ",0,0-E54)</f>
        <v>0</v>
      </c>
    </row>
    <row r="75" spans="1:5" s="62" customFormat="1" ht="12" x14ac:dyDescent="0.2">
      <c r="A75" s="103" t="s">
        <v>84</v>
      </c>
      <c r="B75" s="104"/>
      <c r="C75" s="104"/>
      <c r="D75" s="105"/>
      <c r="E75" s="63">
        <f>IF(AND(E43="eligible",E44="eligible"),0,(IF(AND(E43="Eligible",E44="eligible"),0,0-E57)))</f>
        <v>0</v>
      </c>
    </row>
    <row r="76" spans="1:5" x14ac:dyDescent="0.25">
      <c r="A76" s="112" t="s">
        <v>83</v>
      </c>
      <c r="B76" s="113"/>
      <c r="C76" s="113"/>
      <c r="D76" s="114"/>
      <c r="E76" s="13">
        <f>E70+E72+E71+E73+E74+E75</f>
        <v>0</v>
      </c>
    </row>
    <row r="77" spans="1:5" ht="28.7" customHeight="1" x14ac:dyDescent="0.25">
      <c r="A77" s="183" t="s">
        <v>88</v>
      </c>
      <c r="B77" s="184"/>
      <c r="C77" s="184"/>
      <c r="D77" s="185"/>
      <c r="E77" s="43">
        <f>E76-E69</f>
        <v>0</v>
      </c>
    </row>
  </sheetData>
  <sheetProtection algorithmName="SHA-512" hashValue="P3w7Oslzi+pw9uGLBQI0BUhJU3vudiMeqjwbbMO6sWnL6FktoM2sOxsj/iPfr0WRMeeUes5/3REDjg9ntH4kSA==" saltValue="lx77BPO5nnyfSZtOYa7/JA==" spinCount="100000" sheet="1" selectLockedCells="1"/>
  <mergeCells count="65">
    <mergeCell ref="A74:D74"/>
    <mergeCell ref="A75:D75"/>
    <mergeCell ref="A77:D77"/>
    <mergeCell ref="A64:E64"/>
    <mergeCell ref="A65:E65"/>
    <mergeCell ref="A66:D66"/>
    <mergeCell ref="A67:D67"/>
    <mergeCell ref="A69:D69"/>
    <mergeCell ref="A70:E70"/>
    <mergeCell ref="A71:D71"/>
    <mergeCell ref="A72:D72"/>
    <mergeCell ref="A73:D73"/>
    <mergeCell ref="A76:D76"/>
    <mergeCell ref="A6:B6"/>
    <mergeCell ref="C6:E6"/>
    <mergeCell ref="A1:E1"/>
    <mergeCell ref="A2:E2"/>
    <mergeCell ref="A3:E3"/>
    <mergeCell ref="A4:E4"/>
    <mergeCell ref="A5:B5"/>
    <mergeCell ref="E16:E17"/>
    <mergeCell ref="A7:B7"/>
    <mergeCell ref="C7:E7"/>
    <mergeCell ref="A8:E8"/>
    <mergeCell ref="A9:E9"/>
    <mergeCell ref="A10:D10"/>
    <mergeCell ref="B11:D11"/>
    <mergeCell ref="B12:D12"/>
    <mergeCell ref="B13:D13"/>
    <mergeCell ref="B14:D14"/>
    <mergeCell ref="B15:D15"/>
    <mergeCell ref="B16:D17"/>
    <mergeCell ref="A29:D29"/>
    <mergeCell ref="A18:D18"/>
    <mergeCell ref="B19:D19"/>
    <mergeCell ref="B20:D20"/>
    <mergeCell ref="B21:D21"/>
    <mergeCell ref="B22:B23"/>
    <mergeCell ref="C22:D22"/>
    <mergeCell ref="C23:D23"/>
    <mergeCell ref="A24:D24"/>
    <mergeCell ref="B25:D25"/>
    <mergeCell ref="B26:D26"/>
    <mergeCell ref="B27:D27"/>
    <mergeCell ref="B28:D28"/>
    <mergeCell ref="B43:D43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A56:E56"/>
    <mergeCell ref="B57:D57"/>
    <mergeCell ref="B44:D44"/>
    <mergeCell ref="A45:D45"/>
    <mergeCell ref="B46:E46"/>
    <mergeCell ref="B53:D53"/>
    <mergeCell ref="B54:D54"/>
    <mergeCell ref="A55:D55"/>
  </mergeCells>
  <phoneticPr fontId="37" type="noConversion"/>
  <pageMargins left="0.6" right="0.6" top="0.66666666699999999" bottom="1" header="0.3" footer="0.3"/>
  <pageSetup orientation="portrait" horizontalDpi="300" verticalDpi="300" r:id="rId1"/>
  <headerFooter differentFirst="1">
    <oddHeader xml:space="preserve">&amp;L&amp;"-,Italic"&amp;9
</oddHeader>
    <oddFooter xml:space="preserve">&amp;L&amp;8A product of Disability Policy &amp; Studies, School of Health Professions,
University of Missouri&amp;R Page &amp;P
&amp;8Revised 4/1/19
</oddFooter>
    <firstHeader xml:space="preserve">&amp;C </firstHeader>
    <firstFooter xml:space="preserve">&amp;L&amp;8A product of Disability Policy &amp; Studies, School of Health Professions,
University of Missouri&amp;R&amp;8Revised 4/1/19
 </firstFooter>
  </headerFooter>
  <rowBreaks count="1" manualBreakCount="1">
    <brk id="28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showGridLines="0" view="pageLayout" zoomScale="110" zoomScalePageLayoutView="110" workbookViewId="0">
      <selection activeCell="E14" sqref="E14"/>
    </sheetView>
  </sheetViews>
  <sheetFormatPr defaultColWidth="8.85546875" defaultRowHeight="15" x14ac:dyDescent="0.25"/>
  <cols>
    <col min="1" max="1" width="4.42578125" customWidth="1"/>
    <col min="2" max="2" width="22" customWidth="1"/>
    <col min="3" max="3" width="18.140625" customWidth="1"/>
    <col min="4" max="4" width="32.42578125" customWidth="1"/>
    <col min="5" max="5" width="14.85546875" customWidth="1"/>
  </cols>
  <sheetData>
    <row r="1" spans="1:5" ht="24" thickBot="1" x14ac:dyDescent="0.3">
      <c r="A1" s="159" t="s">
        <v>51</v>
      </c>
      <c r="B1" s="159"/>
      <c r="C1" s="159"/>
      <c r="D1" s="159"/>
      <c r="E1" s="159"/>
    </row>
    <row r="2" spans="1:5" ht="15.75" thickTop="1" x14ac:dyDescent="0.25">
      <c r="A2" s="177" t="s">
        <v>119</v>
      </c>
      <c r="B2" s="178"/>
      <c r="C2" s="178"/>
      <c r="D2" s="178"/>
      <c r="E2" s="178"/>
    </row>
    <row r="3" spans="1:5" ht="15.75" thickBot="1" x14ac:dyDescent="0.3">
      <c r="A3" s="179" t="s">
        <v>52</v>
      </c>
      <c r="B3" s="180"/>
      <c r="C3" s="180"/>
      <c r="D3" s="180"/>
      <c r="E3" s="180"/>
    </row>
    <row r="4" spans="1:5" ht="15.75" thickTop="1" x14ac:dyDescent="0.25">
      <c r="A4" s="213" t="s">
        <v>114</v>
      </c>
      <c r="B4" s="214"/>
      <c r="C4" s="214"/>
      <c r="D4" s="214"/>
      <c r="E4" s="214"/>
    </row>
    <row r="5" spans="1:5" ht="21.6" customHeight="1" x14ac:dyDescent="0.25">
      <c r="A5" s="161" t="s">
        <v>0</v>
      </c>
      <c r="B5" s="161"/>
      <c r="C5" s="41" t="s">
        <v>85</v>
      </c>
      <c r="D5" s="215"/>
      <c r="E5" s="215"/>
    </row>
    <row r="6" spans="1:5" ht="21.6" customHeight="1" x14ac:dyDescent="0.25">
      <c r="A6" s="161" t="s">
        <v>53</v>
      </c>
      <c r="B6" s="161"/>
      <c r="C6" s="176" t="s">
        <v>85</v>
      </c>
      <c r="D6" s="176"/>
      <c r="E6" s="176"/>
    </row>
    <row r="7" spans="1:5" ht="21.6" customHeight="1" x14ac:dyDescent="0.25">
      <c r="A7" s="160" t="s">
        <v>2</v>
      </c>
      <c r="B7" s="160"/>
      <c r="C7" s="173"/>
      <c r="D7" s="173"/>
      <c r="E7" s="173"/>
    </row>
    <row r="8" spans="1:5" ht="18.75" customHeight="1" x14ac:dyDescent="0.25">
      <c r="A8" s="143" t="s">
        <v>38</v>
      </c>
      <c r="B8" s="143"/>
      <c r="C8" s="143"/>
      <c r="D8" s="143"/>
      <c r="E8" s="143"/>
    </row>
    <row r="9" spans="1:5" ht="18.75" customHeight="1" thickBot="1" x14ac:dyDescent="0.3">
      <c r="A9" s="146" t="s">
        <v>3</v>
      </c>
      <c r="B9" s="146"/>
      <c r="C9" s="146"/>
      <c r="D9" s="146"/>
      <c r="E9" s="146"/>
    </row>
    <row r="10" spans="1:5" ht="32.450000000000003" customHeight="1" thickTop="1" thickBot="1" x14ac:dyDescent="0.3">
      <c r="A10" s="130" t="s">
        <v>40</v>
      </c>
      <c r="B10" s="130"/>
      <c r="C10" s="130"/>
      <c r="D10" s="130"/>
      <c r="E10" s="98"/>
    </row>
    <row r="11" spans="1:5" ht="15.75" thickTop="1" x14ac:dyDescent="0.25">
      <c r="A11" s="7" t="s">
        <v>4</v>
      </c>
      <c r="B11" s="144" t="s">
        <v>59</v>
      </c>
      <c r="C11" s="144"/>
      <c r="D11" s="145"/>
      <c r="E11" s="77">
        <v>0</v>
      </c>
    </row>
    <row r="12" spans="1:5" x14ac:dyDescent="0.25">
      <c r="A12" s="7" t="s">
        <v>5</v>
      </c>
      <c r="B12" s="144" t="s">
        <v>54</v>
      </c>
      <c r="C12" s="144"/>
      <c r="D12" s="145"/>
      <c r="E12" s="77">
        <v>0</v>
      </c>
    </row>
    <row r="13" spans="1:5" x14ac:dyDescent="0.25">
      <c r="A13" s="7" t="s">
        <v>6</v>
      </c>
      <c r="B13" s="144" t="s">
        <v>60</v>
      </c>
      <c r="C13" s="144"/>
      <c r="D13" s="145"/>
      <c r="E13" s="77">
        <v>0</v>
      </c>
    </row>
    <row r="14" spans="1:5" x14ac:dyDescent="0.25">
      <c r="A14" s="7" t="s">
        <v>7</v>
      </c>
      <c r="B14" s="144" t="s">
        <v>102</v>
      </c>
      <c r="C14" s="144"/>
      <c r="D14" s="145"/>
      <c r="E14" s="77">
        <v>0</v>
      </c>
    </row>
    <row r="15" spans="1:5" x14ac:dyDescent="0.25">
      <c r="A15" s="7" t="s">
        <v>8</v>
      </c>
      <c r="B15" s="204" t="s">
        <v>103</v>
      </c>
      <c r="C15" s="204"/>
      <c r="D15" s="205"/>
      <c r="E15" s="78">
        <v>0</v>
      </c>
    </row>
    <row r="16" spans="1:5" ht="15.75" thickBot="1" x14ac:dyDescent="0.3">
      <c r="A16" s="30"/>
      <c r="B16" s="206"/>
      <c r="C16" s="206"/>
      <c r="D16" s="207"/>
      <c r="E16" s="31" t="s">
        <v>85</v>
      </c>
    </row>
    <row r="17" spans="1:5" ht="32.450000000000003" customHeight="1" thickTop="1" thickBot="1" x14ac:dyDescent="0.3">
      <c r="A17" s="118" t="s">
        <v>43</v>
      </c>
      <c r="B17" s="118"/>
      <c r="C17" s="118"/>
      <c r="D17" s="118"/>
      <c r="E17" s="55"/>
    </row>
    <row r="18" spans="1:5" ht="15.75" thickTop="1" x14ac:dyDescent="0.25">
      <c r="A18" s="9" t="s">
        <v>9</v>
      </c>
      <c r="B18" s="147" t="s">
        <v>39</v>
      </c>
      <c r="C18" s="147"/>
      <c r="D18" s="148"/>
      <c r="E18" s="14">
        <f xml:space="preserve"> E11+E12</f>
        <v>0</v>
      </c>
    </row>
    <row r="19" spans="1:5" x14ac:dyDescent="0.25">
      <c r="A19" s="9" t="s">
        <v>10</v>
      </c>
      <c r="B19" s="208" t="s">
        <v>96</v>
      </c>
      <c r="C19" s="208"/>
      <c r="D19" s="209"/>
      <c r="E19" s="74">
        <f>IF(E20-E21&gt;0,E20-E21,0)</f>
        <v>0</v>
      </c>
    </row>
    <row r="20" spans="1:5" x14ac:dyDescent="0.25">
      <c r="A20" s="210" t="s">
        <v>95</v>
      </c>
      <c r="B20" s="211"/>
      <c r="C20" s="211"/>
      <c r="D20" s="212"/>
      <c r="E20" s="75">
        <f>E13</f>
        <v>0</v>
      </c>
    </row>
    <row r="21" spans="1:5" x14ac:dyDescent="0.25">
      <c r="A21" s="210" t="s">
        <v>94</v>
      </c>
      <c r="B21" s="211"/>
      <c r="C21" s="211"/>
      <c r="D21" s="212"/>
      <c r="E21" s="76">
        <f>(IF((E13-65)&gt;0,ROUND((E13-65)/2,2),0))+65</f>
        <v>65</v>
      </c>
    </row>
    <row r="22" spans="1:5" x14ac:dyDescent="0.25">
      <c r="A22" s="9" t="s">
        <v>11</v>
      </c>
      <c r="B22" s="127" t="s">
        <v>42</v>
      </c>
      <c r="C22" s="127"/>
      <c r="D22" s="128"/>
      <c r="E22" s="13">
        <f>IF(E18&gt;0,20,0)</f>
        <v>0</v>
      </c>
    </row>
    <row r="23" spans="1:5" ht="15.75" x14ac:dyDescent="0.25">
      <c r="A23" s="9" t="s">
        <v>12</v>
      </c>
      <c r="B23" s="127" t="s">
        <v>92</v>
      </c>
      <c r="C23" s="127"/>
      <c r="D23" s="128"/>
      <c r="E23" s="56">
        <f>IF(E18+19&gt;0,IF(((E18+19)-(E14+E15+E22))&gt;0,(E18+E19)-(E14+E15+E22),0),0)</f>
        <v>0</v>
      </c>
    </row>
    <row r="24" spans="1:5" ht="15.75" x14ac:dyDescent="0.25">
      <c r="A24" s="37"/>
      <c r="B24" s="153" t="s">
        <v>85</v>
      </c>
      <c r="C24" s="151" t="s">
        <v>47</v>
      </c>
      <c r="D24" s="152"/>
      <c r="E24" s="19">
        <f>ROUNDDOWN(IF(E23-D38&gt;0,E23-D38,0),0)</f>
        <v>0</v>
      </c>
    </row>
    <row r="25" spans="1:5" ht="32.450000000000003" customHeight="1" thickBot="1" x14ac:dyDescent="0.3">
      <c r="A25" s="36"/>
      <c r="B25" s="154"/>
      <c r="C25" s="200" t="s">
        <v>120</v>
      </c>
      <c r="D25" s="201"/>
      <c r="E25" s="18"/>
    </row>
    <row r="26" spans="1:5" ht="32.450000000000003" customHeight="1" thickTop="1" thickBot="1" x14ac:dyDescent="0.3">
      <c r="A26" s="130" t="s">
        <v>44</v>
      </c>
      <c r="B26" s="130"/>
      <c r="C26" s="130"/>
      <c r="D26" s="130"/>
      <c r="E26" s="98"/>
    </row>
    <row r="27" spans="1:5" ht="15.75" thickTop="1" x14ac:dyDescent="0.25">
      <c r="A27" s="39" t="s">
        <v>13</v>
      </c>
      <c r="B27" s="139" t="s">
        <v>112</v>
      </c>
      <c r="C27" s="139"/>
      <c r="D27" s="140"/>
      <c r="E27" s="77">
        <v>0</v>
      </c>
    </row>
    <row r="28" spans="1:5" ht="15.75" thickBot="1" x14ac:dyDescent="0.3">
      <c r="A28" s="6" t="s">
        <v>14</v>
      </c>
      <c r="B28" s="122" t="s">
        <v>113</v>
      </c>
      <c r="C28" s="122"/>
      <c r="D28" s="122"/>
      <c r="E28" s="77">
        <v>0</v>
      </c>
    </row>
    <row r="29" spans="1:5" ht="32.450000000000003" customHeight="1" thickTop="1" thickBot="1" x14ac:dyDescent="0.3">
      <c r="A29" s="130" t="s">
        <v>45</v>
      </c>
      <c r="B29" s="130"/>
      <c r="C29" s="130"/>
      <c r="D29" s="130"/>
      <c r="E29" s="11"/>
    </row>
    <row r="30" spans="1:5" ht="15.75" thickTop="1" x14ac:dyDescent="0.25">
      <c r="A30" s="9" t="s">
        <v>18</v>
      </c>
      <c r="B30" s="141" t="s">
        <v>41</v>
      </c>
      <c r="C30" s="141"/>
      <c r="D30" s="142"/>
      <c r="E30" s="14">
        <f>IF(E27+E28&gt;0,E11+E12,0)</f>
        <v>0</v>
      </c>
    </row>
    <row r="31" spans="1:5" x14ac:dyDescent="0.25">
      <c r="A31" s="9" t="s">
        <v>19</v>
      </c>
      <c r="B31" s="202" t="s">
        <v>61</v>
      </c>
      <c r="C31" s="202"/>
      <c r="D31" s="203"/>
      <c r="E31" s="14">
        <f>IF(E27+E28&gt;0,E19,0)</f>
        <v>0</v>
      </c>
    </row>
    <row r="32" spans="1:5" x14ac:dyDescent="0.25">
      <c r="A32" s="9" t="s">
        <v>20</v>
      </c>
      <c r="B32" s="127" t="s">
        <v>42</v>
      </c>
      <c r="C32" s="127"/>
      <c r="D32" s="128"/>
      <c r="E32" s="13">
        <f>IF(E27+E28&gt;0,20,0)</f>
        <v>0</v>
      </c>
    </row>
    <row r="33" spans="1:5" x14ac:dyDescent="0.25">
      <c r="A33" s="9" t="s">
        <v>25</v>
      </c>
      <c r="B33" s="127" t="s">
        <v>17</v>
      </c>
      <c r="C33" s="127"/>
      <c r="D33" s="128"/>
      <c r="E33" s="14">
        <f>IF(E27+E28&gt;0,(IF(E11&gt;50,50,E11)),0)</f>
        <v>0</v>
      </c>
    </row>
    <row r="34" spans="1:5" x14ac:dyDescent="0.25">
      <c r="A34" s="9" t="s">
        <v>28</v>
      </c>
      <c r="B34" s="127" t="s">
        <v>23</v>
      </c>
      <c r="C34" s="127"/>
      <c r="D34" s="128"/>
      <c r="E34" s="13">
        <f>IF(E27+E28&gt;0,IF(E14&gt;75,E14,IF(E14&gt;0,75,0)),E14)</f>
        <v>0</v>
      </c>
    </row>
    <row r="35" spans="1:5" x14ac:dyDescent="0.25">
      <c r="A35" s="9" t="s">
        <v>29</v>
      </c>
      <c r="B35" s="127" t="s">
        <v>100</v>
      </c>
      <c r="C35" s="127"/>
      <c r="D35" s="128"/>
      <c r="E35" s="13">
        <f>E15</f>
        <v>0</v>
      </c>
    </row>
    <row r="36" spans="1:5" x14ac:dyDescent="0.25">
      <c r="A36" s="9" t="s">
        <v>30</v>
      </c>
      <c r="B36" s="127" t="s">
        <v>24</v>
      </c>
      <c r="C36" s="127"/>
      <c r="D36" s="128"/>
      <c r="E36" s="13">
        <f>IF(E27+E28&gt;0,(E27+E28)/2,0)</f>
        <v>0</v>
      </c>
    </row>
    <row r="37" spans="1:5" ht="15.75" x14ac:dyDescent="0.25">
      <c r="A37" s="22" t="s">
        <v>62</v>
      </c>
      <c r="B37" s="131" t="s">
        <v>63</v>
      </c>
      <c r="C37" s="131"/>
      <c r="D37" s="132"/>
      <c r="E37" s="43">
        <f>IF(AND(E27+E28&gt;0,(E30+E31)-SUM(E32:E36)&gt;0),(E30+E31)-SUM(E32:E36),0)</f>
        <v>0</v>
      </c>
    </row>
    <row r="38" spans="1:5" x14ac:dyDescent="0.25">
      <c r="A38" s="25"/>
      <c r="B38" s="60" t="s">
        <v>93</v>
      </c>
      <c r="C38" s="20" t="s">
        <v>22</v>
      </c>
      <c r="D38" s="21">
        <v>1198</v>
      </c>
      <c r="E38" s="83" t="str">
        <f>IF((E27+E28)&gt;0,IF(E37&gt;D38,"Ineligible","Eligible"),"Ineligible ")</f>
        <v xml:space="preserve">Ineligible </v>
      </c>
    </row>
    <row r="39" spans="1:5" ht="15.75" x14ac:dyDescent="0.25">
      <c r="A39" s="40" t="s">
        <v>64</v>
      </c>
      <c r="B39" s="137" t="s">
        <v>65</v>
      </c>
      <c r="C39" s="137"/>
      <c r="D39" s="138"/>
      <c r="E39" s="23">
        <f>IF((E27+E28)&gt;0,E28+E30+E13,0)</f>
        <v>0</v>
      </c>
    </row>
    <row r="40" spans="1:5" x14ac:dyDescent="0.25">
      <c r="A40" s="25"/>
      <c r="B40" s="60" t="s">
        <v>31</v>
      </c>
      <c r="C40" s="20" t="s">
        <v>32</v>
      </c>
      <c r="D40" s="21">
        <v>4228</v>
      </c>
      <c r="E40" s="24" t="str">
        <f>IF((E27+E28)&gt;0,IF(E39&gt;D40,"Ineligible","Eligible"),"Ineligible ")</f>
        <v xml:space="preserve">Ineligible </v>
      </c>
    </row>
    <row r="41" spans="1:5" ht="25.35" customHeight="1" thickBot="1" x14ac:dyDescent="0.3">
      <c r="A41" s="32"/>
      <c r="B41" s="133" t="s">
        <v>21</v>
      </c>
      <c r="C41" s="133"/>
      <c r="D41" s="134"/>
      <c r="E41" s="69" t="str">
        <f>IF(E38="Eligible",IF(E40="Eligible","Eligible","Ineligible"),"Ineligible")</f>
        <v>Ineligible</v>
      </c>
    </row>
    <row r="42" spans="1:5" ht="32.450000000000003" customHeight="1" thickTop="1" thickBot="1" x14ac:dyDescent="0.3">
      <c r="A42" s="118" t="s">
        <v>33</v>
      </c>
      <c r="B42" s="118"/>
      <c r="C42" s="118"/>
      <c r="D42" s="118"/>
      <c r="E42" s="97"/>
    </row>
    <row r="43" spans="1:5" ht="33.6" customHeight="1" thickTop="1" x14ac:dyDescent="0.25">
      <c r="A43" s="16"/>
      <c r="B43" s="129" t="s">
        <v>116</v>
      </c>
      <c r="C43" s="129"/>
      <c r="D43" s="129"/>
      <c r="E43" s="129"/>
    </row>
    <row r="44" spans="1:5" ht="16.5" x14ac:dyDescent="0.25">
      <c r="A44" s="16"/>
      <c r="B44" s="57" t="s">
        <v>34</v>
      </c>
      <c r="C44" s="58">
        <v>3522.99</v>
      </c>
      <c r="D44" s="59" t="s">
        <v>35</v>
      </c>
      <c r="E44" s="58">
        <v>211</v>
      </c>
    </row>
    <row r="45" spans="1:5" ht="16.5" x14ac:dyDescent="0.25">
      <c r="A45" s="16"/>
      <c r="B45" s="57" t="s">
        <v>34</v>
      </c>
      <c r="C45" s="99">
        <v>2817.99</v>
      </c>
      <c r="D45" s="59" t="s">
        <v>35</v>
      </c>
      <c r="E45" s="58">
        <v>141</v>
      </c>
    </row>
    <row r="46" spans="1:5" ht="16.5" x14ac:dyDescent="0.25">
      <c r="A46" s="16"/>
      <c r="B46" s="57" t="s">
        <v>34</v>
      </c>
      <c r="C46" s="99">
        <v>2113.9899999999998</v>
      </c>
      <c r="D46" s="59" t="s">
        <v>35</v>
      </c>
      <c r="E46" s="58">
        <v>85</v>
      </c>
    </row>
    <row r="47" spans="1:5" ht="16.5" x14ac:dyDescent="0.25">
      <c r="A47" s="16"/>
      <c r="B47" s="57" t="s">
        <v>34</v>
      </c>
      <c r="C47" s="99">
        <v>1409</v>
      </c>
      <c r="D47" s="59" t="s">
        <v>35</v>
      </c>
      <c r="E47" s="58">
        <v>56</v>
      </c>
    </row>
    <row r="48" spans="1:5" ht="27.2" customHeight="1" x14ac:dyDescent="0.25">
      <c r="A48" s="16"/>
      <c r="B48" s="86">
        <f>C47</f>
        <v>1409</v>
      </c>
      <c r="C48" s="87" t="s">
        <v>104</v>
      </c>
      <c r="D48" s="59" t="s">
        <v>35</v>
      </c>
      <c r="E48" s="58">
        <v>0</v>
      </c>
    </row>
    <row r="49" spans="1:5" x14ac:dyDescent="0.25">
      <c r="A49" s="70" t="s">
        <v>91</v>
      </c>
      <c r="B49" s="195" t="s">
        <v>66</v>
      </c>
      <c r="C49" s="195"/>
      <c r="D49" s="196"/>
      <c r="E49" s="15">
        <f>E39</f>
        <v>0</v>
      </c>
    </row>
    <row r="50" spans="1:5" ht="18" x14ac:dyDescent="0.25">
      <c r="A50" s="71"/>
      <c r="B50" s="197" t="s">
        <v>36</v>
      </c>
      <c r="C50" s="197"/>
      <c r="D50" s="198"/>
      <c r="E50" s="34" t="str">
        <f>IF(E41="Eligible",(IF(E39&gt;C44,E44,(IF(E39&gt;C45,E45,(IF(E39&gt;C46,E46,(IF(E39&gt;C47,E47,0)))))))), " ")</f>
        <v xml:space="preserve"> </v>
      </c>
    </row>
    <row r="51" spans="1:5" ht="32.450000000000003" customHeight="1" thickBot="1" x14ac:dyDescent="0.3">
      <c r="A51" s="199" t="s">
        <v>48</v>
      </c>
      <c r="B51" s="199"/>
      <c r="C51" s="199"/>
      <c r="D51" s="199"/>
      <c r="E51" s="72"/>
    </row>
    <row r="52" spans="1:5" ht="32.450000000000003" customHeight="1" thickTop="1" x14ac:dyDescent="0.25">
      <c r="A52" s="129" t="s">
        <v>122</v>
      </c>
      <c r="B52" s="129"/>
      <c r="C52" s="129"/>
      <c r="D52" s="129"/>
      <c r="E52" s="129"/>
    </row>
    <row r="53" spans="1:5" ht="18" x14ac:dyDescent="0.25">
      <c r="A53" s="73"/>
      <c r="B53" s="123" t="s">
        <v>123</v>
      </c>
      <c r="C53" s="123"/>
      <c r="D53" s="124"/>
      <c r="E53" s="42">
        <f>IF(E28+E13&gt;65,ROUNDDOWN(((E11+E12)-(E14+E15+E32))+((E28+E13-65)/2)-D38,0),E24)</f>
        <v>0</v>
      </c>
    </row>
    <row r="54" spans="1:5" ht="37.5" customHeight="1" thickBot="1" x14ac:dyDescent="0.3">
      <c r="A54" s="118" t="s">
        <v>75</v>
      </c>
      <c r="B54" s="118"/>
      <c r="C54" s="118"/>
      <c r="D54" s="118"/>
      <c r="E54" s="118"/>
    </row>
    <row r="55" spans="1:5" ht="21.6" customHeight="1" thickTop="1" x14ac:dyDescent="0.25">
      <c r="A55" s="186" t="s">
        <v>78</v>
      </c>
      <c r="B55" s="194"/>
      <c r="C55" s="194"/>
      <c r="D55" s="194"/>
      <c r="E55" s="194"/>
    </row>
    <row r="56" spans="1:5" x14ac:dyDescent="0.25">
      <c r="A56" s="103" t="s">
        <v>87</v>
      </c>
      <c r="B56" s="104"/>
      <c r="C56" s="104"/>
      <c r="D56" s="105"/>
      <c r="E56" s="61">
        <f>E11+E12</f>
        <v>0</v>
      </c>
    </row>
    <row r="57" spans="1:5" x14ac:dyDescent="0.25">
      <c r="A57" s="103" t="s">
        <v>90</v>
      </c>
      <c r="B57" s="104"/>
      <c r="C57" s="104"/>
      <c r="D57" s="105"/>
      <c r="E57" s="61">
        <f>E13</f>
        <v>0</v>
      </c>
    </row>
    <row r="58" spans="1:5" x14ac:dyDescent="0.25">
      <c r="A58" s="103" t="s">
        <v>79</v>
      </c>
      <c r="B58" s="104"/>
      <c r="C58" s="104"/>
      <c r="D58" s="105"/>
      <c r="E58" s="61">
        <f>0-(E14+E15)</f>
        <v>0</v>
      </c>
    </row>
    <row r="59" spans="1:5" x14ac:dyDescent="0.25">
      <c r="A59" s="109" t="s">
        <v>80</v>
      </c>
      <c r="B59" s="110"/>
      <c r="C59" s="110"/>
      <c r="D59" s="111"/>
      <c r="E59" s="61">
        <f>0-E24</f>
        <v>0</v>
      </c>
    </row>
    <row r="60" spans="1:5" x14ac:dyDescent="0.25">
      <c r="A60" s="112" t="s">
        <v>81</v>
      </c>
      <c r="B60" s="113"/>
      <c r="C60" s="113"/>
      <c r="D60" s="114"/>
      <c r="E60" s="13">
        <f>E56+E57+E58+E59</f>
        <v>0</v>
      </c>
    </row>
    <row r="61" spans="1:5" ht="21.6" customHeight="1" x14ac:dyDescent="0.25">
      <c r="A61" s="190" t="s">
        <v>89</v>
      </c>
      <c r="B61" s="190"/>
      <c r="C61" s="190"/>
      <c r="D61" s="190"/>
      <c r="E61" s="190"/>
    </row>
    <row r="62" spans="1:5" x14ac:dyDescent="0.25">
      <c r="A62" s="103" t="s">
        <v>87</v>
      </c>
      <c r="B62" s="104"/>
      <c r="C62" s="104"/>
      <c r="D62" s="105"/>
      <c r="E62" s="61">
        <f>E11+E12</f>
        <v>0</v>
      </c>
    </row>
    <row r="63" spans="1:5" x14ac:dyDescent="0.25">
      <c r="A63" s="103" t="s">
        <v>82</v>
      </c>
      <c r="B63" s="104"/>
      <c r="C63" s="104"/>
      <c r="D63" s="105"/>
      <c r="E63" s="61">
        <f>E27+E28</f>
        <v>0</v>
      </c>
    </row>
    <row r="64" spans="1:5" x14ac:dyDescent="0.25">
      <c r="A64" s="103" t="s">
        <v>90</v>
      </c>
      <c r="B64" s="104"/>
      <c r="C64" s="104"/>
      <c r="D64" s="105"/>
      <c r="E64" s="61">
        <f>E13</f>
        <v>0</v>
      </c>
    </row>
    <row r="65" spans="1:5" x14ac:dyDescent="0.25">
      <c r="A65" s="103" t="s">
        <v>79</v>
      </c>
      <c r="B65" s="104"/>
      <c r="C65" s="104"/>
      <c r="D65" s="105"/>
      <c r="E65" s="61">
        <f>0-(E14+E15)</f>
        <v>0</v>
      </c>
    </row>
    <row r="66" spans="1:5" x14ac:dyDescent="0.25">
      <c r="A66" s="109" t="s">
        <v>77</v>
      </c>
      <c r="B66" s="110"/>
      <c r="C66" s="110"/>
      <c r="D66" s="111"/>
      <c r="E66" s="63">
        <f>IF(E41="Eligible",0-E50, 0)</f>
        <v>0</v>
      </c>
    </row>
    <row r="67" spans="1:5" x14ac:dyDescent="0.25">
      <c r="A67" s="103" t="s">
        <v>84</v>
      </c>
      <c r="B67" s="104"/>
      <c r="C67" s="104"/>
      <c r="D67" s="105"/>
      <c r="E67" s="63">
        <f>IF(E41="Eligible",0,0-E53)</f>
        <v>0</v>
      </c>
    </row>
    <row r="68" spans="1:5" x14ac:dyDescent="0.25">
      <c r="A68" s="112" t="s">
        <v>83</v>
      </c>
      <c r="B68" s="113"/>
      <c r="C68" s="113"/>
      <c r="D68" s="114"/>
      <c r="E68" s="13">
        <f>E62+E64+E63+E65+E66+E67</f>
        <v>0</v>
      </c>
    </row>
    <row r="69" spans="1:5" ht="28.7" customHeight="1" x14ac:dyDescent="0.25">
      <c r="A69" s="191" t="s">
        <v>88</v>
      </c>
      <c r="B69" s="192"/>
      <c r="C69" s="192"/>
      <c r="D69" s="193"/>
      <c r="E69" s="43">
        <f>E68-E60</f>
        <v>0</v>
      </c>
    </row>
  </sheetData>
  <sheetProtection algorithmName="SHA-512" hashValue="ztclXNG+wWvcw09HqqotsAbqOT+hivfu3V70KP2VVlrBOLrNW1V9AR55hA9UhxFoSvQIRc/YROOUy/s+JWCDTQ==" saltValue="Jc30yhZ30O7EdILPtPT5/w==" spinCount="100000" sheet="1" selectLockedCells="1"/>
  <mergeCells count="65">
    <mergeCell ref="A9:E9"/>
    <mergeCell ref="A1:E1"/>
    <mergeCell ref="A2:E2"/>
    <mergeCell ref="A3:E3"/>
    <mergeCell ref="A4:E4"/>
    <mergeCell ref="A5:B5"/>
    <mergeCell ref="D5:E5"/>
    <mergeCell ref="A6:B6"/>
    <mergeCell ref="C6:E6"/>
    <mergeCell ref="A7:B7"/>
    <mergeCell ref="C7:E7"/>
    <mergeCell ref="A8:E8"/>
    <mergeCell ref="B22:D22"/>
    <mergeCell ref="A10:D10"/>
    <mergeCell ref="B11:D11"/>
    <mergeCell ref="B12:D12"/>
    <mergeCell ref="B13:D13"/>
    <mergeCell ref="B14:D14"/>
    <mergeCell ref="B15:D16"/>
    <mergeCell ref="A17:D17"/>
    <mergeCell ref="B18:D18"/>
    <mergeCell ref="B19:D19"/>
    <mergeCell ref="A20:D20"/>
    <mergeCell ref="A21:D21"/>
    <mergeCell ref="B33:D33"/>
    <mergeCell ref="B23:D23"/>
    <mergeCell ref="B24:B25"/>
    <mergeCell ref="C24:D24"/>
    <mergeCell ref="C25:D25"/>
    <mergeCell ref="A26:D26"/>
    <mergeCell ref="B27:D27"/>
    <mergeCell ref="B28:D28"/>
    <mergeCell ref="A29:D29"/>
    <mergeCell ref="B30:D30"/>
    <mergeCell ref="B31:D31"/>
    <mergeCell ref="B32:D32"/>
    <mergeCell ref="A52:E52"/>
    <mergeCell ref="B34:D34"/>
    <mergeCell ref="B35:D35"/>
    <mergeCell ref="B36:D36"/>
    <mergeCell ref="B37:D37"/>
    <mergeCell ref="B39:D39"/>
    <mergeCell ref="B41:D41"/>
    <mergeCell ref="A42:D42"/>
    <mergeCell ref="B43:E43"/>
    <mergeCell ref="B49:D49"/>
    <mergeCell ref="B50:D50"/>
    <mergeCell ref="A51:D51"/>
    <mergeCell ref="A64:D64"/>
    <mergeCell ref="B53:D53"/>
    <mergeCell ref="A54:E54"/>
    <mergeCell ref="A55:E55"/>
    <mergeCell ref="A56:D56"/>
    <mergeCell ref="A57:D57"/>
    <mergeCell ref="A58:D58"/>
    <mergeCell ref="A59:D59"/>
    <mergeCell ref="A60:D60"/>
    <mergeCell ref="A61:E61"/>
    <mergeCell ref="A62:D62"/>
    <mergeCell ref="A63:D63"/>
    <mergeCell ref="A65:D65"/>
    <mergeCell ref="A66:D66"/>
    <mergeCell ref="A67:D67"/>
    <mergeCell ref="A68:D68"/>
    <mergeCell ref="A69:D69"/>
  </mergeCells>
  <phoneticPr fontId="37" type="noConversion"/>
  <pageMargins left="0.25" right="0.25" top="0.75" bottom="0.75" header="0.3" footer="0.3"/>
  <pageSetup orientation="portrait" horizontalDpi="300" verticalDpi="300" r:id="rId1"/>
  <headerFooter differentFirst="1">
    <oddHeader>&amp;L&amp;"-,Italic"&amp;9Ticket to Work Health Assurance Calculation Sheet for Couples</oddHeader>
    <oddFooter xml:space="preserve">&amp;L&amp;8A product of Disability Policy &amp; Studies, School of Health Professions, University of Missouri&amp;C
&amp;R&amp;8 Page &amp;P
Revised 4/1/19
</oddFooter>
    <firstFooter>&amp;L&amp;8A product of Disability Policy &amp; Studies, School of Health Professions, University of Missouri&amp;R&amp;8Revised 4/1/19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</vt:lpstr>
      <vt:lpstr>Couples, both disabled</vt:lpstr>
      <vt:lpstr>Couples, 1 with disability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Standifer</dc:creator>
  <cp:lastModifiedBy>Witherbee, Anna</cp:lastModifiedBy>
  <cp:lastPrinted>2019-03-27T21:43:57Z</cp:lastPrinted>
  <dcterms:created xsi:type="dcterms:W3CDTF">2008-08-13T16:24:15Z</dcterms:created>
  <dcterms:modified xsi:type="dcterms:W3CDTF">2019-09-20T18:30:44Z</dcterms:modified>
</cp:coreProperties>
</file>